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llectifdemarches.sharepoint.com/sites/msteams_871460_111513/Documents partages/General/2_Livrables GTs techniques/Année 2/CAP2030 Phase2 Livrables Versions A diffuser/GT3/"/>
    </mc:Choice>
  </mc:AlternateContent>
  <xr:revisionPtr revIDLastSave="3813" documentId="8_{FF396A19-CA78-45DB-9F80-3411369C1BAB}" xr6:coauthVersionLast="47" xr6:coauthVersionMax="47" xr10:uidLastSave="{BBAFA9C1-DB1F-41DC-A64E-34C1843E99DD}"/>
  <bookViews>
    <workbookView xWindow="-108" yWindow="-108" windowWidth="23256" windowHeight="12456" xr2:uid="{EBD46E94-C43C-4A5D-B1F1-94283F612850}"/>
  </bookViews>
  <sheets>
    <sheet name="Accueil" sheetId="6" r:id="rId1"/>
    <sheet name="00_NOTICE" sheetId="5" r:id="rId2"/>
    <sheet name="01_OUTIL" sheetId="1" r:id="rId3"/>
    <sheet name="02_DONNEES-EXIGENCES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E15" i="1"/>
  <c r="D10" i="1"/>
  <c r="D11" i="1"/>
  <c r="D12" i="1"/>
  <c r="D13" i="1"/>
  <c r="D14" i="1"/>
  <c r="D15" i="1"/>
  <c r="D9" i="1"/>
  <c r="V14" i="1"/>
  <c r="V15" i="1"/>
  <c r="U8" i="2"/>
  <c r="U6" i="2" s="1"/>
  <c r="AN11" i="1" s="1"/>
  <c r="V4" i="2"/>
  <c r="L9" i="1" s="1"/>
  <c r="V5" i="2"/>
  <c r="L10" i="1" s="1"/>
  <c r="V6" i="2"/>
  <c r="L11" i="1" s="1"/>
  <c r="V7" i="2"/>
  <c r="L12" i="1" s="1"/>
  <c r="V8" i="2"/>
  <c r="L13" i="1" s="1"/>
  <c r="AU15" i="1"/>
  <c r="AN14" i="1"/>
  <c r="AN15" i="1"/>
  <c r="U14" i="1"/>
  <c r="U15" i="1"/>
  <c r="AD15" i="1"/>
  <c r="L14" i="1"/>
  <c r="L15" i="1"/>
  <c r="Q4" i="2"/>
  <c r="R4" i="2"/>
  <c r="S4" i="2"/>
  <c r="Q5" i="2"/>
  <c r="R5" i="2"/>
  <c r="S5" i="2"/>
  <c r="Q6" i="2"/>
  <c r="R6" i="2"/>
  <c r="S6" i="2"/>
  <c r="Q7" i="2"/>
  <c r="R7" i="2"/>
  <c r="AH12" i="1" s="1"/>
  <c r="S7" i="2"/>
  <c r="T4" i="2"/>
  <c r="J9" i="1" s="1"/>
  <c r="T5" i="2"/>
  <c r="J10" i="1" s="1"/>
  <c r="T6" i="2"/>
  <c r="J11" i="1" s="1"/>
  <c r="T7" i="2"/>
  <c r="J12" i="1" s="1"/>
  <c r="AR13" i="1"/>
  <c r="AH13" i="1"/>
  <c r="S13" i="1"/>
  <c r="B3" i="1"/>
  <c r="Q105" i="2"/>
  <c r="Q111" i="2" s="1"/>
  <c r="P105" i="2"/>
  <c r="P111" i="2" s="1"/>
  <c r="O105" i="2"/>
  <c r="O111" i="2" s="1"/>
  <c r="N105" i="2"/>
  <c r="N109" i="2" s="1"/>
  <c r="M105" i="2"/>
  <c r="M109" i="2" s="1"/>
  <c r="L105" i="2"/>
  <c r="L110" i="2" s="1"/>
  <c r="K105" i="2"/>
  <c r="K107" i="2" s="1"/>
  <c r="J105" i="2"/>
  <c r="J108" i="2" s="1"/>
  <c r="I105" i="2"/>
  <c r="I106" i="2" s="1"/>
  <c r="H105" i="2"/>
  <c r="H110" i="2" s="1"/>
  <c r="G105" i="2"/>
  <c r="G107" i="2" s="1"/>
  <c r="AN13" i="1" l="1"/>
  <c r="O108" i="2"/>
  <c r="Q106" i="2"/>
  <c r="P108" i="2"/>
  <c r="N108" i="2"/>
  <c r="M108" i="2"/>
  <c r="J107" i="2"/>
  <c r="N111" i="2"/>
  <c r="O106" i="2"/>
  <c r="Q108" i="2"/>
  <c r="N106" i="2"/>
  <c r="M111" i="2"/>
  <c r="U4" i="2"/>
  <c r="AN9" i="1" s="1"/>
  <c r="L106" i="2"/>
  <c r="K111" i="2"/>
  <c r="U5" i="2"/>
  <c r="AN10" i="1" s="1"/>
  <c r="Q110" i="2"/>
  <c r="P110" i="2"/>
  <c r="M106" i="2"/>
  <c r="L111" i="2"/>
  <c r="U7" i="2"/>
  <c r="AN12" i="1" s="1"/>
  <c r="I111" i="2"/>
  <c r="O110" i="2"/>
  <c r="N110" i="2"/>
  <c r="L109" i="2"/>
  <c r="I107" i="2"/>
  <c r="K109" i="2"/>
  <c r="J109" i="2"/>
  <c r="I109" i="2"/>
  <c r="J111" i="2"/>
  <c r="H109" i="2"/>
  <c r="P106" i="2"/>
  <c r="H107" i="2"/>
  <c r="K108" i="2"/>
  <c r="K110" i="2"/>
  <c r="J110" i="2"/>
  <c r="G110" i="2"/>
  <c r="I110" i="2"/>
  <c r="Q107" i="2"/>
  <c r="L108" i="2"/>
  <c r="J106" i="2"/>
  <c r="M110" i="2"/>
  <c r="G109" i="2"/>
  <c r="P107" i="2"/>
  <c r="G108" i="2"/>
  <c r="Q109" i="2"/>
  <c r="O107" i="2"/>
  <c r="K106" i="2"/>
  <c r="I108" i="2"/>
  <c r="O109" i="2"/>
  <c r="M107" i="2"/>
  <c r="H111" i="2"/>
  <c r="G106" i="2"/>
  <c r="G111" i="2"/>
  <c r="H108" i="2"/>
  <c r="P109" i="2"/>
  <c r="N107" i="2"/>
  <c r="L107" i="2"/>
  <c r="H106" i="2"/>
  <c r="S9" i="1"/>
  <c r="AR12" i="1"/>
  <c r="S12" i="1"/>
  <c r="S11" i="1"/>
  <c r="S10" i="1"/>
  <c r="B2" i="1"/>
  <c r="AR11" i="1" l="1"/>
  <c r="AH11" i="1"/>
  <c r="AH9" i="1" l="1"/>
  <c r="AH10" i="1"/>
  <c r="AR9" i="1"/>
  <c r="AR10" i="1"/>
  <c r="P22" i="2"/>
  <c r="P29" i="2"/>
  <c r="Q26" i="2" s="1"/>
  <c r="AR14" i="1"/>
  <c r="AR15" i="1"/>
  <c r="AQ10" i="1"/>
  <c r="AQ11" i="1"/>
  <c r="AQ12" i="1"/>
  <c r="AQ13" i="1"/>
  <c r="AQ14" i="1"/>
  <c r="AQ15" i="1"/>
  <c r="AQ9" i="1"/>
  <c r="AO10" i="1"/>
  <c r="AO11" i="1"/>
  <c r="AO12" i="1"/>
  <c r="AO13" i="1"/>
  <c r="AO14" i="1"/>
  <c r="AO15" i="1"/>
  <c r="AO9" i="1"/>
  <c r="C97" i="2"/>
  <c r="G79" i="2"/>
  <c r="G83" i="2" s="1"/>
  <c r="H79" i="2"/>
  <c r="H82" i="2" s="1"/>
  <c r="I79" i="2"/>
  <c r="I82" i="2" s="1"/>
  <c r="J79" i="2"/>
  <c r="J82" i="2" s="1"/>
  <c r="K79" i="2"/>
  <c r="K82" i="2" s="1"/>
  <c r="L79" i="2"/>
  <c r="L85" i="2" s="1"/>
  <c r="M79" i="2"/>
  <c r="M83" i="2" s="1"/>
  <c r="N79" i="2"/>
  <c r="N80" i="2" s="1"/>
  <c r="O79" i="2"/>
  <c r="O81" i="2" s="1"/>
  <c r="F79" i="2"/>
  <c r="F85" i="2" s="1"/>
  <c r="AH15" i="1"/>
  <c r="AG15" i="1"/>
  <c r="AE15" i="1"/>
  <c r="AA15" i="1"/>
  <c r="AB15" i="1" s="1"/>
  <c r="Y15" i="1"/>
  <c r="S15" i="1"/>
  <c r="R15" i="1"/>
  <c r="M15" i="1"/>
  <c r="AH14" i="1"/>
  <c r="AG14" i="1"/>
  <c r="AE14" i="1"/>
  <c r="AA14" i="1"/>
  <c r="AB14" i="1" s="1"/>
  <c r="Y14" i="1"/>
  <c r="S14" i="1"/>
  <c r="R14" i="1"/>
  <c r="M14" i="1"/>
  <c r="AG13" i="1"/>
  <c r="AE13" i="1"/>
  <c r="AA13" i="1"/>
  <c r="Y13" i="1"/>
  <c r="R13" i="1"/>
  <c r="M13" i="1"/>
  <c r="AG12" i="1"/>
  <c r="AE12" i="1"/>
  <c r="AA12" i="1"/>
  <c r="Y12" i="1"/>
  <c r="R12" i="1"/>
  <c r="M12" i="1"/>
  <c r="AG11" i="1"/>
  <c r="AE11" i="1"/>
  <c r="AA11" i="1"/>
  <c r="Y11" i="1"/>
  <c r="R11" i="1"/>
  <c r="M11" i="1"/>
  <c r="AG10" i="1"/>
  <c r="AE10" i="1"/>
  <c r="AA10" i="1"/>
  <c r="Y10" i="1"/>
  <c r="R10" i="1"/>
  <c r="M10" i="1"/>
  <c r="AG9" i="1"/>
  <c r="AE9" i="1"/>
  <c r="AA9" i="1"/>
  <c r="Y9" i="1"/>
  <c r="R9" i="1"/>
  <c r="M9" i="1"/>
  <c r="H39" i="2"/>
  <c r="H42" i="2" s="1"/>
  <c r="I39" i="2"/>
  <c r="I44" i="2" s="1"/>
  <c r="J39" i="2"/>
  <c r="J45" i="2" s="1"/>
  <c r="K39" i="2"/>
  <c r="K44" i="2" s="1"/>
  <c r="L39" i="2"/>
  <c r="L41" i="2" s="1"/>
  <c r="M39" i="2"/>
  <c r="M45" i="2" s="1"/>
  <c r="N39" i="2"/>
  <c r="N40" i="2" s="1"/>
  <c r="O39" i="2"/>
  <c r="G39" i="2"/>
  <c r="G41" i="2" s="1"/>
  <c r="G54" i="2"/>
  <c r="G57" i="2" s="1"/>
  <c r="AI16" i="1"/>
  <c r="O54" i="2"/>
  <c r="O57" i="2" s="1"/>
  <c r="P54" i="2"/>
  <c r="P57" i="2" s="1"/>
  <c r="H54" i="2"/>
  <c r="H60" i="2" s="1"/>
  <c r="I54" i="2"/>
  <c r="I60" i="2" s="1"/>
  <c r="J54" i="2"/>
  <c r="J56" i="2" s="1"/>
  <c r="K54" i="2"/>
  <c r="K56" i="2" s="1"/>
  <c r="L54" i="2"/>
  <c r="L56" i="2" s="1"/>
  <c r="M54" i="2"/>
  <c r="M55" i="2" s="1"/>
  <c r="N54" i="2"/>
  <c r="N55" i="2" s="1"/>
  <c r="H17" i="2"/>
  <c r="H23" i="2" s="1"/>
  <c r="I17" i="2"/>
  <c r="I19" i="2" s="1"/>
  <c r="J17" i="2"/>
  <c r="J19" i="2" s="1"/>
  <c r="K17" i="2"/>
  <c r="K22" i="2" s="1"/>
  <c r="L17" i="2"/>
  <c r="L22" i="2" s="1"/>
  <c r="G17" i="2"/>
  <c r="G19" i="2" s="1"/>
  <c r="AI14" i="1" l="1"/>
  <c r="AI15" i="1"/>
  <c r="AS14" i="1"/>
  <c r="AI11" i="1"/>
  <c r="AJ14" i="1"/>
  <c r="AJ15" i="1"/>
  <c r="AC14" i="1"/>
  <c r="AD14" i="1" s="1"/>
  <c r="AC15" i="1"/>
  <c r="AI10" i="1"/>
  <c r="AI9" i="1"/>
  <c r="AT15" i="1"/>
  <c r="O40" i="2"/>
  <c r="W14" i="1"/>
  <c r="W15" i="1"/>
  <c r="AT14" i="1"/>
  <c r="AU14" i="1" s="1"/>
  <c r="AI12" i="1"/>
  <c r="T14" i="1"/>
  <c r="T15" i="1"/>
  <c r="AS15" i="1"/>
  <c r="K81" i="2"/>
  <c r="K80" i="2"/>
  <c r="J80" i="2"/>
  <c r="G80" i="2"/>
  <c r="I80" i="2"/>
  <c r="J83" i="2"/>
  <c r="I83" i="2"/>
  <c r="M81" i="2"/>
  <c r="M82" i="2"/>
  <c r="O85" i="2"/>
  <c r="L81" i="2"/>
  <c r="AS13" i="1" s="1"/>
  <c r="K85" i="2"/>
  <c r="K84" i="2"/>
  <c r="J81" i="2"/>
  <c r="J84" i="2"/>
  <c r="M46" i="2"/>
  <c r="I84" i="2"/>
  <c r="I81" i="2"/>
  <c r="L46" i="2"/>
  <c r="J85" i="2"/>
  <c r="M80" i="2"/>
  <c r="I85" i="2"/>
  <c r="O80" i="2"/>
  <c r="O83" i="2"/>
  <c r="O84" i="2"/>
  <c r="O82" i="2"/>
  <c r="H81" i="2"/>
  <c r="AS11" i="1" s="1"/>
  <c r="H84" i="2"/>
  <c r="L80" i="2"/>
  <c r="L82" i="2"/>
  <c r="K83" i="2"/>
  <c r="H85" i="2"/>
  <c r="L83" i="2"/>
  <c r="AT13" i="1" s="1"/>
  <c r="L84" i="2"/>
  <c r="H80" i="2"/>
  <c r="H83" i="2"/>
  <c r="AT12" i="1" s="1"/>
  <c r="N85" i="2"/>
  <c r="N84" i="2"/>
  <c r="N83" i="2"/>
  <c r="M85" i="2"/>
  <c r="M84" i="2"/>
  <c r="N82" i="2"/>
  <c r="N81" i="2"/>
  <c r="G85" i="2"/>
  <c r="G82" i="2"/>
  <c r="G81" i="2"/>
  <c r="G84" i="2"/>
  <c r="F84" i="2"/>
  <c r="F83" i="2"/>
  <c r="AT9" i="1" s="1"/>
  <c r="F82" i="2"/>
  <c r="F81" i="2"/>
  <c r="AS10" i="1" s="1"/>
  <c r="F80" i="2"/>
  <c r="G46" i="2"/>
  <c r="AC9" i="1" s="1"/>
  <c r="O46" i="2"/>
  <c r="N46" i="2"/>
  <c r="J46" i="2"/>
  <c r="K46" i="2"/>
  <c r="I46" i="2"/>
  <c r="H46" i="2"/>
  <c r="AC10" i="1" s="1"/>
  <c r="J42" i="2"/>
  <c r="I43" i="2"/>
  <c r="AB11" i="1" s="1"/>
  <c r="J43" i="2"/>
  <c r="J44" i="2"/>
  <c r="K40" i="2"/>
  <c r="J40" i="2"/>
  <c r="H40" i="2"/>
  <c r="N45" i="2"/>
  <c r="M42" i="2"/>
  <c r="J41" i="2"/>
  <c r="H41" i="2"/>
  <c r="M44" i="2"/>
  <c r="G40" i="2"/>
  <c r="I40" i="2"/>
  <c r="I45" i="2"/>
  <c r="AC11" i="1" s="1"/>
  <c r="G45" i="2"/>
  <c r="L43" i="2"/>
  <c r="AB13" i="1" s="1"/>
  <c r="L40" i="2"/>
  <c r="G44" i="2"/>
  <c r="G42" i="2"/>
  <c r="L45" i="2"/>
  <c r="N44" i="2"/>
  <c r="L44" i="2"/>
  <c r="G43" i="2"/>
  <c r="AB9" i="1" s="1"/>
  <c r="L42" i="2"/>
  <c r="M41" i="2"/>
  <c r="M40" i="2"/>
  <c r="N41" i="2"/>
  <c r="I42" i="2"/>
  <c r="I41" i="2"/>
  <c r="O42" i="2"/>
  <c r="N42" i="2"/>
  <c r="O45" i="2"/>
  <c r="M43" i="2"/>
  <c r="O44" i="2"/>
  <c r="O41" i="2"/>
  <c r="O43" i="2"/>
  <c r="N43" i="2"/>
  <c r="K43" i="2"/>
  <c r="AB12" i="1" s="1"/>
  <c r="K42" i="2"/>
  <c r="K45" i="2"/>
  <c r="K41" i="2"/>
  <c r="H44" i="2"/>
  <c r="H43" i="2"/>
  <c r="H45" i="2"/>
  <c r="I59" i="2"/>
  <c r="H59" i="2"/>
  <c r="G59" i="2"/>
  <c r="I56" i="2"/>
  <c r="H56" i="2"/>
  <c r="G56" i="2"/>
  <c r="G60" i="2"/>
  <c r="AJ9" i="1" s="1"/>
  <c r="L59" i="2"/>
  <c r="K59" i="2"/>
  <c r="J59" i="2"/>
  <c r="AJ11" i="1" s="1"/>
  <c r="N60" i="2"/>
  <c r="M60" i="2"/>
  <c r="N59" i="2"/>
  <c r="M59" i="2"/>
  <c r="L58" i="2"/>
  <c r="AJ13" i="1" s="1"/>
  <c r="N58" i="2"/>
  <c r="K58" i="2"/>
  <c r="M58" i="2"/>
  <c r="J58" i="2"/>
  <c r="N57" i="2"/>
  <c r="I58" i="2"/>
  <c r="M57" i="2"/>
  <c r="G55" i="2"/>
  <c r="H58" i="2"/>
  <c r="N56" i="2"/>
  <c r="L55" i="2"/>
  <c r="AI13" i="1" s="1"/>
  <c r="G58" i="2"/>
  <c r="M56" i="2"/>
  <c r="K55" i="2"/>
  <c r="L57" i="2"/>
  <c r="J55" i="2"/>
  <c r="K57" i="2"/>
  <c r="I55" i="2"/>
  <c r="J57" i="2"/>
  <c r="P56" i="2"/>
  <c r="H55" i="2"/>
  <c r="I57" i="2"/>
  <c r="O56" i="2"/>
  <c r="L60" i="2"/>
  <c r="H57" i="2"/>
  <c r="P55" i="2"/>
  <c r="K60" i="2"/>
  <c r="O55" i="2"/>
  <c r="J60" i="2"/>
  <c r="P60" i="2"/>
  <c r="O60" i="2"/>
  <c r="P59" i="2"/>
  <c r="O59" i="2"/>
  <c r="P58" i="2"/>
  <c r="O58" i="2"/>
  <c r="L21" i="2"/>
  <c r="H19" i="2"/>
  <c r="J22" i="2"/>
  <c r="I22" i="2"/>
  <c r="H22" i="2"/>
  <c r="G22" i="2"/>
  <c r="K21" i="2"/>
  <c r="J21" i="2"/>
  <c r="W13" i="1" s="1"/>
  <c r="I21" i="2"/>
  <c r="W12" i="1" s="1"/>
  <c r="G18" i="2"/>
  <c r="H21" i="2"/>
  <c r="W9" i="1" s="1"/>
  <c r="L18" i="2"/>
  <c r="G21" i="2"/>
  <c r="K18" i="2"/>
  <c r="L20" i="2"/>
  <c r="J18" i="2"/>
  <c r="T13" i="1" s="1"/>
  <c r="V13" i="1" s="1"/>
  <c r="K20" i="2"/>
  <c r="I18" i="2"/>
  <c r="T11" i="1" s="1"/>
  <c r="V11" i="1" s="1"/>
  <c r="J20" i="2"/>
  <c r="H18" i="2"/>
  <c r="T10" i="1" s="1"/>
  <c r="V10" i="1" s="1"/>
  <c r="I20" i="2"/>
  <c r="L23" i="2"/>
  <c r="H20" i="2"/>
  <c r="K23" i="2"/>
  <c r="G20" i="2"/>
  <c r="J23" i="2"/>
  <c r="L19" i="2"/>
  <c r="I23" i="2"/>
  <c r="K19" i="2"/>
  <c r="G23" i="2"/>
  <c r="AK14" i="1" l="1"/>
  <c r="AK15" i="1"/>
  <c r="AK11" i="1"/>
  <c r="U10" i="1"/>
  <c r="U11" i="1"/>
  <c r="U12" i="1"/>
  <c r="U13" i="1"/>
  <c r="X13" i="1" s="1"/>
  <c r="AK9" i="1"/>
  <c r="AU13" i="1"/>
  <c r="W10" i="1"/>
  <c r="AC12" i="1"/>
  <c r="AD12" i="1" s="1"/>
  <c r="AD11" i="1"/>
  <c r="X15" i="1"/>
  <c r="X14" i="1"/>
  <c r="E14" i="1" s="1"/>
  <c r="U9" i="1"/>
  <c r="AT10" i="1"/>
  <c r="AU10" i="1" s="1"/>
  <c r="AK13" i="1"/>
  <c r="AD9" i="1"/>
  <c r="AT11" i="1"/>
  <c r="AU11" i="1" s="1"/>
  <c r="AJ12" i="1"/>
  <c r="AK12" i="1" s="1"/>
  <c r="T12" i="1"/>
  <c r="V12" i="1" s="1"/>
  <c r="AS9" i="1"/>
  <c r="AU9" i="1" s="1"/>
  <c r="AJ10" i="1"/>
  <c r="AK10" i="1" s="1"/>
  <c r="AS12" i="1"/>
  <c r="AU12" i="1" s="1"/>
  <c r="W11" i="1"/>
  <c r="T9" i="1"/>
  <c r="V9" i="1" s="1"/>
  <c r="AC13" i="1"/>
  <c r="AD13" i="1" s="1"/>
  <c r="AB10" i="1"/>
  <c r="AD10" i="1" s="1"/>
  <c r="E13" i="1" l="1"/>
  <c r="F13" i="1" s="1"/>
  <c r="G13" i="1" s="1"/>
  <c r="X10" i="1"/>
  <c r="E10" i="1" s="1"/>
  <c r="X11" i="1"/>
  <c r="X12" i="1"/>
  <c r="X9" i="1"/>
  <c r="E12" i="1" l="1"/>
  <c r="F12" i="1" s="1"/>
  <c r="G12" i="1" s="1"/>
  <c r="E11" i="1"/>
  <c r="F11" i="1" s="1"/>
  <c r="G11" i="1" s="1"/>
  <c r="E9" i="1"/>
  <c r="F10" i="1"/>
  <c r="G10" i="1" s="1"/>
  <c r="F9" i="1" l="1"/>
  <c r="G9" i="1" s="1"/>
  <c r="B5" i="1"/>
  <c r="B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tc={4C0E6C1B-1B29-443C-A569-89D9C113B14A}</author>
    <author>tc={73E1A612-E74D-45CB-8371-C0E6B15BB9F5}</author>
  </authors>
  <commentList>
    <comment ref="T3" authorId="0" shapeId="0" xr:uid="{4C0E6C1B-1B29-443C-A569-89D9C113B1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de sèche linge constaté dans Panelelectdom</t>
      </text>
    </comment>
    <comment ref="U3" authorId="1" shapeId="0" xr:uid="{73E1A612-E74D-45CB-8371-C0E6B15BB9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Gain de consommation constaté dans PANELECTDOM 65 ventilé selon la surface</t>
      </text>
    </comment>
  </commentList>
</comments>
</file>

<file path=xl/sharedStrings.xml><?xml version="1.0" encoding="utf-8"?>
<sst xmlns="http://schemas.openxmlformats.org/spreadsheetml/2006/main" count="467" uniqueCount="227">
  <si>
    <t>Typologie de logement</t>
  </si>
  <si>
    <t xml:space="preserve">Nombre de logement </t>
  </si>
  <si>
    <t>Etandoire à linge</t>
  </si>
  <si>
    <t>Réfrigérateur</t>
  </si>
  <si>
    <t>Lave linge</t>
  </si>
  <si>
    <t>Lave vaisselle</t>
  </si>
  <si>
    <t>Seche linge</t>
  </si>
  <si>
    <t>Etiquette installée</t>
  </si>
  <si>
    <t>Capacité à respecter</t>
  </si>
  <si>
    <t>Nombre  de cycle/an</t>
  </si>
  <si>
    <t>T3</t>
  </si>
  <si>
    <t>Oui</t>
  </si>
  <si>
    <t>A</t>
  </si>
  <si>
    <t>T5</t>
  </si>
  <si>
    <t>Exigence : performance et capacité</t>
  </si>
  <si>
    <t>Lave-vaisselle</t>
  </si>
  <si>
    <t xml:space="preserve">Nombre personne </t>
  </si>
  <si>
    <t>Etiquette minimale à respecter</t>
  </si>
  <si>
    <t>T1</t>
  </si>
  <si>
    <t>1 à 2</t>
  </si>
  <si>
    <t>100 à 150L</t>
  </si>
  <si>
    <t>6 à 7kg</t>
  </si>
  <si>
    <t>7 à 10 couv.</t>
  </si>
  <si>
    <t>C</t>
  </si>
  <si>
    <t>A+++</t>
  </si>
  <si>
    <t>T2</t>
  </si>
  <si>
    <t>2 à 3</t>
  </si>
  <si>
    <t>150 à 250L</t>
  </si>
  <si>
    <t>7 à 8kg</t>
  </si>
  <si>
    <t>10 à 12 couv.</t>
  </si>
  <si>
    <t>B</t>
  </si>
  <si>
    <t>T4</t>
  </si>
  <si>
    <t>3 à 4</t>
  </si>
  <si>
    <t>250 à 350L</t>
  </si>
  <si>
    <t>7 à 9kg</t>
  </si>
  <si>
    <t>4 à 5</t>
  </si>
  <si>
    <t>8 à 11kg</t>
  </si>
  <si>
    <t>12 à 14 couv.</t>
  </si>
  <si>
    <t>T6</t>
  </si>
  <si>
    <t>T7</t>
  </si>
  <si>
    <t>LAVE LINGE</t>
  </si>
  <si>
    <t>Classe d’efficacité énergétique</t>
  </si>
  <si>
    <r>
      <t>Indice d’efficacité énergétique (IEE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)</t>
    </r>
  </si>
  <si>
    <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≤ 52</t>
    </r>
  </si>
  <si>
    <r>
      <t>52 &lt; </t>
    </r>
    <r>
      <rPr>
        <b/>
        <sz val="9.9"/>
        <color rgb="FF333333"/>
        <rFont val="Times New Roman"/>
        <family val="1"/>
      </rP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≤ 60</t>
    </r>
  </si>
  <si>
    <r>
      <t>60 &lt; </t>
    </r>
    <r>
      <rPr>
        <b/>
        <sz val="9.9"/>
        <color rgb="FF333333"/>
        <rFont val="Times New Roman"/>
        <family val="1"/>
      </rP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≤ 69</t>
    </r>
  </si>
  <si>
    <t>D</t>
  </si>
  <si>
    <r>
      <t>69 &lt; </t>
    </r>
    <r>
      <rPr>
        <b/>
        <sz val="9.9"/>
        <color rgb="FF333333"/>
        <rFont val="Times New Roman"/>
        <family val="1"/>
      </rP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≤ 80</t>
    </r>
  </si>
  <si>
    <t>E</t>
  </si>
  <si>
    <r>
      <t>80 &lt; </t>
    </r>
    <r>
      <rPr>
        <b/>
        <sz val="9.9"/>
        <color rgb="FF333333"/>
        <rFont val="Times New Roman"/>
        <family val="1"/>
      </rP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≤ 91</t>
    </r>
  </si>
  <si>
    <t>F</t>
  </si>
  <si>
    <r>
      <t>91 &lt; </t>
    </r>
    <r>
      <rPr>
        <b/>
        <sz val="9.9"/>
        <color rgb="FF333333"/>
        <rFont val="Times New Roman"/>
        <family val="1"/>
      </rP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≤ 102</t>
    </r>
  </si>
  <si>
    <t>G</t>
  </si>
  <si>
    <r>
      <t>IEE</t>
    </r>
    <r>
      <rPr>
        <b/>
        <vertAlign val="subscript"/>
        <sz val="7.7"/>
        <color rgb="FF333333"/>
        <rFont val="Times New Roman"/>
        <family val="1"/>
      </rPr>
      <t>W</t>
    </r>
    <r>
      <rPr>
        <b/>
        <sz val="9.9"/>
        <color rgb="FF333333"/>
        <rFont val="Times New Roman"/>
        <family val="1"/>
      </rPr>
      <t> </t>
    </r>
    <r>
      <rPr>
        <sz val="9.9"/>
        <color rgb="FF333333"/>
        <rFont val="Times New Roman"/>
        <family val="1"/>
      </rPr>
      <t>&gt; 102</t>
    </r>
  </si>
  <si>
    <r>
      <t>IEE</t>
    </r>
    <r>
      <rPr>
        <vertAlign val="subscript"/>
        <sz val="7.7"/>
        <color rgb="FF333333"/>
        <rFont val="Times New Roman"/>
        <family val="1"/>
      </rPr>
      <t>W</t>
    </r>
    <r>
      <rPr>
        <sz val="14"/>
        <color rgb="FF333333"/>
        <rFont val="Times New Roman"/>
        <family val="1"/>
      </rPr>
      <t> = (E</t>
    </r>
    <r>
      <rPr>
        <vertAlign val="subscript"/>
        <sz val="7.7"/>
        <color rgb="FF333333"/>
        <rFont val="Times New Roman"/>
        <family val="1"/>
      </rPr>
      <t>W</t>
    </r>
    <r>
      <rPr>
        <sz val="14"/>
        <color rgb="FF333333"/>
        <rFont val="Times New Roman"/>
        <family val="1"/>
      </rPr>
      <t>/SCE</t>
    </r>
    <r>
      <rPr>
        <vertAlign val="subscript"/>
        <sz val="7.7"/>
        <color rgb="FF333333"/>
        <rFont val="Times New Roman"/>
        <family val="1"/>
      </rPr>
      <t>W</t>
    </r>
    <r>
      <rPr>
        <sz val="14"/>
        <color rgb="FF333333"/>
        <rFont val="Times New Roman"/>
        <family val="1"/>
      </rPr>
      <t>) × 100</t>
    </r>
  </si>
  <si>
    <t>Ew = (IEE /100)*SCEw</t>
  </si>
  <si>
    <t>IEEw = efficacité</t>
  </si>
  <si>
    <t>https://eur-lex.europa.eu/legal-content/FR/TXT/?uri=CELEX:32019R2014</t>
  </si>
  <si>
    <t>Nombre de cycle annuel considéré dans l'ancienne étiquette</t>
  </si>
  <si>
    <t>Origine valeur : Annexe 2 du reglement EU</t>
  </si>
  <si>
    <t>https://eur-lex.europa.eu/legal-content/FR/ALL/?uri=CELEX%3A32010R1061</t>
  </si>
  <si>
    <t>REFRIGERATION</t>
  </si>
  <si>
    <t>p68 du doc suivant :</t>
  </si>
  <si>
    <t>LAVE VAISSELLE</t>
  </si>
  <si>
    <t>CEPE en kWh/cycle</t>
  </si>
  <si>
    <t>IEE &lt; 32</t>
  </si>
  <si>
    <t>CEPSconsommation standard</t>
  </si>
  <si>
    <t>32 ≤ IEE &lt; 38</t>
  </si>
  <si>
    <t>38 ≤ IEE &lt; 44</t>
  </si>
  <si>
    <t>44 ≤ IEE &lt; 50</t>
  </si>
  <si>
    <t>50 ≤ IEE &lt; 56</t>
  </si>
  <si>
    <t>56 ≤ IEE &lt; 62</t>
  </si>
  <si>
    <t>IEE ≥ 62</t>
  </si>
  <si>
    <t>https://eur-lex.europa.eu/legal-content/FR/ALL/?uri=celex:32019R2017</t>
  </si>
  <si>
    <t>IEE = (CEPE/CEPS) × 100</t>
  </si>
  <si>
    <t>CEPE=IEE/100*CEPS</t>
  </si>
  <si>
    <t>la CEPE est la consommation d’énergie du programme eco du lave-vaisselle ménager exprimée en kWh/cycle et arrondie à la troisième décimale;</t>
  </si>
  <si>
    <t>la CEPS est la consommation d’énergie standard du programme du lave-vaisselle ménager.</t>
  </si>
  <si>
    <t>pour les lave-vaisselle ménagers ayant une capacité nominale ps ≥ 10 et une largeur &gt; 50 cm:</t>
  </si>
  <si>
    <t>CEPS = 0,025 × ps + 1,350</t>
  </si>
  <si>
    <t>pour les lave-vaisselle ménagers ayant une capacité nominale ps ≤ 9 ou une largeur ≤ 50 cm:</t>
  </si>
  <si>
    <t>CEPS = 0,090 × ps + 0,450</t>
  </si>
  <si>
    <t xml:space="preserve">Origine info : </t>
  </si>
  <si>
    <t>A++</t>
  </si>
  <si>
    <t>A+</t>
  </si>
  <si>
    <t>Plaque de cuisson</t>
  </si>
  <si>
    <t>Four</t>
  </si>
  <si>
    <t>Etiquette conso de référence</t>
  </si>
  <si>
    <t>Etiquette réelle</t>
  </si>
  <si>
    <t>Type d'étendoire</t>
  </si>
  <si>
    <t>Présence?</t>
  </si>
  <si>
    <t>80 à 130L</t>
  </si>
  <si>
    <t>Présence ?</t>
  </si>
  <si>
    <t>300 à 400L</t>
  </si>
  <si>
    <t>301 à 400L</t>
  </si>
  <si>
    <t>302 à 400L</t>
  </si>
  <si>
    <t>Commande box</t>
  </si>
  <si>
    <t>Indice efficacité IEEw</t>
  </si>
  <si>
    <t>Seuil Ew pour chaque lettre en Kwhef/cycle pour les lave-linges</t>
  </si>
  <si>
    <t>Capacité lave-linge en kg</t>
  </si>
  <si>
    <t>SCEw conso. standard Kwhef/cycle</t>
  </si>
  <si>
    <t>Etiquette de référence
-3 classes</t>
  </si>
  <si>
    <t>Etiquette de référence
-2 classes</t>
  </si>
  <si>
    <t>Indice d’efficacité énergétique (IEE)</t>
  </si>
  <si>
    <t>41 &lt; IEE ≤ 51</t>
  </si>
  <si>
    <t>51 &lt; IEE ≤ 64</t>
  </si>
  <si>
    <t>64 &lt; IEE ≤ 80</t>
  </si>
  <si>
    <t>80 &lt; IEE ≤ 100</t>
  </si>
  <si>
    <t>100 &lt; IEE ≤ 125</t>
  </si>
  <si>
    <t>IEE &gt; 125</t>
  </si>
  <si>
    <r>
      <t>IEE = </t>
    </r>
    <r>
      <rPr>
        <i/>
        <sz val="14"/>
        <color rgb="FF333333"/>
        <rFont val="Times New Roman"/>
        <family val="1"/>
      </rPr>
      <t>AE/SAE</t>
    </r>
  </si>
  <si>
    <t>https://eur-lex.europa.eu/legal-content/FR/ALL/?uri=CELEX:32019R2016</t>
  </si>
  <si>
    <t>Capacité total</t>
  </si>
  <si>
    <t>Indice efficacité IEE</t>
  </si>
  <si>
    <t>Seuil AE pour chaque lettre en Kwhef/an pour les réfrigérateurs)</t>
  </si>
  <si>
    <t>SAE conso. standard Kwhef/an</t>
  </si>
  <si>
    <t>Nombre de cycle annuel PANEL Electdom</t>
  </si>
  <si>
    <t xml:space="preserve">Nombre de cycle PANEL Electdom </t>
  </si>
  <si>
    <t>IEE&lt;41</t>
  </si>
  <si>
    <t>Gain conso.
[kWhef]</t>
  </si>
  <si>
    <t>Conso annuelle
[kWhef]</t>
  </si>
  <si>
    <t>Conso. annuelle Référence
[kWhef]</t>
  </si>
  <si>
    <t>Conso. Référence
[kWhef]</t>
  </si>
  <si>
    <t>Capacité</t>
  </si>
  <si>
    <r>
      <t xml:space="preserve">Froid </t>
    </r>
    <r>
      <rPr>
        <sz val="12"/>
        <color theme="1"/>
        <rFont val="Aptos Narrow"/>
        <family val="2"/>
        <scheme val="minor"/>
      </rPr>
      <t>(réfrigérateur ou conbiné)</t>
    </r>
  </si>
  <si>
    <t>Non</t>
  </si>
  <si>
    <t>40 à 50L</t>
  </si>
  <si>
    <t>70 à 80L</t>
  </si>
  <si>
    <t>50 à 70L</t>
  </si>
  <si>
    <t>FOUR</t>
  </si>
  <si>
    <t>EEIcavité &lt; 45</t>
  </si>
  <si>
    <t>45 ≤ EEIcavité &lt; 62</t>
  </si>
  <si>
    <t>62 ≤ EEIcavité &lt; 82</t>
  </si>
  <si>
    <t>82 ≤ EEIcavité &lt; 107</t>
  </si>
  <si>
    <t>107 ≤ EEIcavité &lt; 132</t>
  </si>
  <si>
    <t>132 ≤ EEIcavité &lt; 159</t>
  </si>
  <si>
    <t>EEIcavité ≥ 159</t>
  </si>
  <si>
    <t>EC = EEI/100*SEC</t>
  </si>
  <si>
    <t>SEC élec</t>
  </si>
  <si>
    <r>
      <rPr>
        <b/>
        <sz val="11"/>
        <color theme="1"/>
        <rFont val="Aptos Narrow"/>
        <family val="2"/>
        <scheme val="minor"/>
      </rPr>
      <t>Source  :</t>
    </r>
    <r>
      <rPr>
        <sz val="11"/>
        <color theme="1"/>
        <rFont val="Aptos Narrow"/>
        <family val="2"/>
        <scheme val="minor"/>
      </rPr>
      <t xml:space="preserve"> https://eur-lex.europa.eu/legal-content/FR/TXT/HTML/?uri=CELEX%3A32014R0065</t>
    </r>
  </si>
  <si>
    <t>Type de plaque</t>
  </si>
  <si>
    <t>OUI</t>
  </si>
  <si>
    <t>Induction</t>
  </si>
  <si>
    <t xml:space="preserve">Nombre cycle/an: </t>
  </si>
  <si>
    <t>Nombre cycle/semaine (panelecdom) :</t>
  </si>
  <si>
    <t>m</t>
  </si>
  <si>
    <t>cp</t>
  </si>
  <si>
    <t>deltaT</t>
  </si>
  <si>
    <t>Conso bouchon eau froide (kWh)</t>
  </si>
  <si>
    <t>Equipement ECS</t>
  </si>
  <si>
    <t>Solaire thermique (appoint gaz)</t>
  </si>
  <si>
    <t>Hybride gaz/PAC</t>
  </si>
  <si>
    <t>RCU</t>
  </si>
  <si>
    <t>Autre système</t>
  </si>
  <si>
    <t>Si RCU quel taux d'EnR ?</t>
  </si>
  <si>
    <t>Conso  chaleur fournie par le batiment
[kWh]</t>
  </si>
  <si>
    <t>Conso électrique du lave linge
[kWhef]</t>
  </si>
  <si>
    <t>Présentation de l'outil :</t>
  </si>
  <si>
    <t>Présentation des onglets :</t>
  </si>
  <si>
    <t>01_OUTIL</t>
  </si>
  <si>
    <t>Cet onglet permet de réaliser les simulations de gains.</t>
  </si>
  <si>
    <r>
      <t xml:space="preserve">! NE REMPLIR QUE LES CASES BLANCHES !  </t>
    </r>
    <r>
      <rPr>
        <sz val="11"/>
        <rFont val="Calibri"/>
        <family val="2"/>
      </rPr>
      <t>-&gt; les cases grisées sont automatiquement remplies</t>
    </r>
  </si>
  <si>
    <t>Vous pouvez visualiser les gains énergétiques en haut à gauche.</t>
  </si>
  <si>
    <t>02_DONNEES-EXIGENCES</t>
  </si>
  <si>
    <t>Ces données s'appuient sur le règlement européen de l'étiquetage énergétique (sources disponibles dans l'onglet).</t>
  </si>
  <si>
    <t>SECHE LINGE</t>
  </si>
  <si>
    <t>ATTENTION nouvelle étiquette énergie à de juillet 2025 le texte est ici :https://eur-lex.europa.eu/legal-content/FR/ALL/?uri=CELEX:32023R2534</t>
  </si>
  <si>
    <t>https://www.gifam.fr/2024/10/04/seche-linge-tout-savoir-sur-la-nouvelle-etiquette-energie/</t>
  </si>
  <si>
    <t>AEC</t>
  </si>
  <si>
    <t>Indice d’efficacité énergétique</t>
  </si>
  <si>
    <t>Poids linge</t>
  </si>
  <si>
    <t>A +++ (appareils les plus efficaces)</t>
  </si>
  <si>
    <t>IEE &lt; 24</t>
  </si>
  <si>
    <t>SAEC consommation standard</t>
  </si>
  <si>
    <t>24 ≤ IEE &lt; 32</t>
  </si>
  <si>
    <t>32 ≤ IEE &lt; 42</t>
  </si>
  <si>
    <t>42 ≤ IEE &lt; 65</t>
  </si>
  <si>
    <t>65 ≤ IEE &lt; 76</t>
  </si>
  <si>
    <t>76 ≤ IEE &lt; 85</t>
  </si>
  <si>
    <t xml:space="preserve">D </t>
  </si>
  <si>
    <t>85 ≤ IEE</t>
  </si>
  <si>
    <t>AEC = EEI/100*SAEC</t>
  </si>
  <si>
    <t>AEC = consommation d’énergie annuelle pondérée du sèche-linge domestique à tambour,</t>
  </si>
  <si>
    <t>SAEC = consommation d’énergie annuelle standard du sèche-linge domestique à tambour.</t>
  </si>
  <si>
    <t>https://eur-lex.europa.eu/legal-content/FR/ALL/?uri=CELEX%3A32012R0392</t>
  </si>
  <si>
    <t>Nombre cycle moyen PANEL Electdom</t>
  </si>
  <si>
    <t>Balcon abrité</t>
  </si>
  <si>
    <t>CAP2030 a défini une méthode pour les bâtiments à énergie positive. Jusqu’à présent, les consommations mobilières étaient comptabilisées de manière forfaitaire (par exemple : XX kWh), comme le prévoit la RE2020.</t>
  </si>
  <si>
    <r>
      <t xml:space="preserve">L’objectif de cette méthode est de proposer une démarche visant à </t>
    </r>
    <r>
      <rPr>
        <b/>
        <sz val="11"/>
        <color theme="1"/>
        <rFont val="Aptos Narrow"/>
        <family val="2"/>
        <scheme val="minor"/>
      </rPr>
      <t>réduire les consommations mobilières</t>
    </r>
    <r>
      <rPr>
        <sz val="11"/>
        <color theme="1"/>
        <rFont val="Aptos Narrow"/>
        <family val="2"/>
        <scheme val="minor"/>
      </rPr>
      <t xml:space="preserve"> grâce à la mise en place de solutions techniques efficaces.</t>
    </r>
  </si>
  <si>
    <r>
      <t>Il ne s’agit pas d’un outil d’évaluation des consommations mobilières, mais d’un</t>
    </r>
    <r>
      <rPr>
        <b/>
        <sz val="11"/>
        <color theme="1"/>
        <rFont val="Aptos Narrow"/>
        <family val="2"/>
        <scheme val="minor"/>
      </rPr>
      <t xml:space="preserve"> mécanisme de récompense destiné aux maîtres d’ouvrage</t>
    </r>
    <r>
      <rPr>
        <sz val="11"/>
        <color theme="1"/>
        <rFont val="Aptos Narrow"/>
        <family val="2"/>
        <scheme val="minor"/>
      </rPr>
      <t xml:space="preserve"> qui s’engagent activement à réduire ces consommations, dans le cadre d’un label de bâtiment à énergie positive.</t>
    </r>
  </si>
  <si>
    <r>
      <t xml:space="preserve">La somme de ces gains, rapportée à la surface habitable totale du bâtiment, donne les gains énergétiques exprimés en </t>
    </r>
    <r>
      <rPr>
        <b/>
        <sz val="11"/>
        <color theme="1"/>
        <rFont val="Aptos Narrow"/>
        <family val="2"/>
        <scheme val="minor"/>
      </rPr>
      <t>kWhep/m².an</t>
    </r>
    <r>
      <rPr>
        <sz val="11"/>
        <color theme="1"/>
        <rFont val="Aptos Narrow"/>
        <family val="2"/>
        <scheme val="minor"/>
      </rPr>
      <t>.</t>
    </r>
  </si>
  <si>
    <r>
      <t xml:space="preserve">L’outil permet de calculer une consommation mobilière prenant en compte les solutions mises en place par le maître d’ouvrage, ainsi qu’une consommation mobilière de référence, afin de déterminer les </t>
    </r>
    <r>
      <rPr>
        <b/>
        <sz val="11"/>
        <color theme="1"/>
        <rFont val="Aptos Narrow"/>
        <family val="2"/>
        <scheme val="minor"/>
      </rPr>
      <t>gains énergétiques</t>
    </r>
    <r>
      <rPr>
        <sz val="11"/>
        <color theme="1"/>
        <rFont val="Aptos Narrow"/>
        <family val="2"/>
        <scheme val="minor"/>
      </rPr>
      <t>.</t>
    </r>
  </si>
  <si>
    <t>Lave-linge</t>
  </si>
  <si>
    <t>Conso électrique du lave linge si raccordement eau chaude
[kWhef]</t>
  </si>
  <si>
    <t>Gain plaque de cuisson</t>
  </si>
  <si>
    <t>Shab type</t>
  </si>
  <si>
    <t>Gain sechage naturel linge</t>
  </si>
  <si>
    <t>Gain box TV et internet</t>
  </si>
  <si>
    <t>Typologie logement</t>
  </si>
  <si>
    <t>Raccordement à l'ECS du batiment?</t>
  </si>
  <si>
    <t>Si Oui, quelle est la nature de l'équipement producteur d'ECS ?</t>
  </si>
  <si>
    <t>Gain en kWhef</t>
  </si>
  <si>
    <t xml:space="preserve">Nombre de cycle annuel par équipement et par typologie </t>
  </si>
  <si>
    <t xml:space="preserve">Gains énergétiques par rapport aux consommations de références </t>
  </si>
  <si>
    <t xml:space="preserve">Shab total batiment </t>
  </si>
  <si>
    <t>Consommation mobilière de référence</t>
  </si>
  <si>
    <t>Consommation mobilière du projet</t>
  </si>
  <si>
    <t>m²shab</t>
  </si>
  <si>
    <t>Gains totaux
kWhef/an</t>
  </si>
  <si>
    <t>Gains totaux surfaciques
kWhef/an.m²</t>
  </si>
  <si>
    <t>Gains totaux surfaciques
kWhep/an.m²</t>
  </si>
  <si>
    <t>Rendement</t>
  </si>
  <si>
    <t>Hybride gaz/bois</t>
  </si>
  <si>
    <t>100% PAC</t>
  </si>
  <si>
    <t>100% Bois</t>
  </si>
  <si>
    <t>Performance des équipements si raccordement ECS</t>
  </si>
  <si>
    <t>Salle de bain</t>
  </si>
  <si>
    <t>kWhep/an.m²shab</t>
  </si>
  <si>
    <t>SHAB par typologie de logement
m²</t>
  </si>
  <si>
    <t>SHAB Totale par typologie de logement
m²</t>
  </si>
  <si>
    <t>Fil extérieur collectif</t>
  </si>
  <si>
    <t>Buanderie ventilée</t>
  </si>
  <si>
    <t>2) Pour chaque équipement, compléter les cases blanches (une liste déroulante est prévue pour certaines d'entre elles)</t>
  </si>
  <si>
    <t>1) Entrez ligne par ligne toutes les typologies de logements présentes dans le bâtiment, leur nombre et la SHAB par typologie de logement</t>
  </si>
  <si>
    <t>Cet onglet contient toutes les données utiles au calcul des gains énergétiques. L'objectif est de répertorier par équipement les consommations par capacité et par étiquette énergétique.</t>
  </si>
  <si>
    <t>Pour réaliser une simulation :</t>
  </si>
  <si>
    <r>
      <t xml:space="preserve">Cadre commun de référence  CAP 2030
Thématique Energie
</t>
    </r>
    <r>
      <rPr>
        <sz val="18"/>
        <color theme="0" tint="-0.499984740745262"/>
        <rFont val="Barlow"/>
      </rPr>
      <t>Décembre 2025</t>
    </r>
    <r>
      <rPr>
        <sz val="18"/>
        <color theme="1"/>
        <rFont val="Barlow"/>
      </rPr>
      <t xml:space="preserve">
Calcul de la consommation mobilière
</t>
    </r>
    <r>
      <rPr>
        <sz val="12"/>
        <color theme="1"/>
        <rFont val="Barlow"/>
      </rPr>
      <t>Merci de lire la Notice avant toute utilisation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</si>
</sst>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rgb="FF333333"/>
      <name val="Times New Roman"/>
      <family val="1"/>
    </font>
    <font>
      <b/>
      <sz val="9.9"/>
      <color rgb="FF333333"/>
      <name val="Times New Roman"/>
      <family val="1"/>
    </font>
    <font>
      <b/>
      <vertAlign val="subscript"/>
      <sz val="7.7"/>
      <color rgb="FF333333"/>
      <name val="Times New Roman"/>
      <family val="1"/>
    </font>
    <font>
      <sz val="9.9"/>
      <color rgb="FF333333"/>
      <name val="Times New Roman"/>
      <family val="1"/>
    </font>
    <font>
      <vertAlign val="subscript"/>
      <sz val="7.7"/>
      <color rgb="FF333333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4"/>
      <color rgb="FF333333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9"/>
      <name val="Calibri"/>
      <family val="2"/>
    </font>
    <font>
      <sz val="14"/>
      <color rgb="FFC00000"/>
      <name val="Times New Roman"/>
      <family val="1"/>
    </font>
    <font>
      <b/>
      <u/>
      <sz val="18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8"/>
      <color theme="1"/>
      <name val="Barlow"/>
    </font>
    <font>
      <sz val="18"/>
      <color theme="0" tint="-0.499984740745262"/>
      <name val="Barlow"/>
    </font>
    <font>
      <sz val="18"/>
      <color theme="1"/>
      <name val="Aptos Narrow"/>
      <family val="2"/>
      <scheme val="minor"/>
    </font>
    <font>
      <sz val="12"/>
      <color theme="1"/>
      <name val="Barlow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1" fillId="0" borderId="0"/>
  </cellStyleXfs>
  <cellXfs count="17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0" xfId="0" applyFont="1"/>
    <xf numFmtId="2" fontId="0" fillId="0" borderId="1" xfId="0" applyNumberFormat="1" applyBorder="1"/>
    <xf numFmtId="2" fontId="1" fillId="0" borderId="1" xfId="0" applyNumberFormat="1" applyFont="1" applyBorder="1"/>
    <xf numFmtId="0" fontId="8" fillId="0" borderId="0" xfId="1"/>
    <xf numFmtId="0" fontId="0" fillId="0" borderId="5" xfId="0" applyBorder="1" applyAlignment="1">
      <alignment horizontal="center" vertical="center" wrapText="1"/>
    </xf>
    <xf numFmtId="0" fontId="9" fillId="0" borderId="0" xfId="0" applyFont="1"/>
    <xf numFmtId="0" fontId="1" fillId="5" borderId="0" xfId="0" applyFont="1" applyFill="1"/>
    <xf numFmtId="0" fontId="0" fillId="5" borderId="0" xfId="0" applyFill="1"/>
    <xf numFmtId="0" fontId="1" fillId="0" borderId="0" xfId="0" applyFont="1"/>
    <xf numFmtId="2" fontId="0" fillId="0" borderId="0" xfId="0" applyNumberFormat="1"/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7" borderId="7" xfId="0" applyNumberFormat="1" applyFon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1" fontId="0" fillId="6" borderId="14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6" borderId="16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" fontId="0" fillId="6" borderId="16" xfId="0" applyNumberFormat="1" applyFill="1" applyBorder="1" applyAlignment="1">
      <alignment horizontal="center" vertical="center" wrapText="1"/>
    </xf>
    <xf numFmtId="1" fontId="0" fillId="6" borderId="17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21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2" fontId="0" fillId="0" borderId="24" xfId="0" applyNumberFormat="1" applyBorder="1" applyAlignment="1">
      <alignment horizontal="center"/>
    </xf>
    <xf numFmtId="1" fontId="1" fillId="7" borderId="2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" fontId="0" fillId="6" borderId="14" xfId="0" applyNumberFormat="1" applyFill="1" applyBorder="1" applyAlignment="1">
      <alignment horizontal="center" vertical="center" wrapText="1"/>
    </xf>
    <xf numFmtId="1" fontId="0" fillId="6" borderId="17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0" fillId="0" borderId="27" xfId="0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12" borderId="0" xfId="0" applyFill="1"/>
    <xf numFmtId="0" fontId="0" fillId="12" borderId="9" xfId="0" applyFill="1" applyBorder="1"/>
    <xf numFmtId="0" fontId="1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1" fontId="0" fillId="0" borderId="1" xfId="0" applyNumberFormat="1" applyBorder="1"/>
    <xf numFmtId="0" fontId="3" fillId="0" borderId="0" xfId="0" applyFont="1" applyAlignment="1">
      <alignment horizontal="justify" vertical="center" wrapText="1"/>
    </xf>
    <xf numFmtId="1" fontId="0" fillId="0" borderId="0" xfId="0" applyNumberFormat="1"/>
    <xf numFmtId="1" fontId="0" fillId="6" borderId="31" xfId="0" applyNumberFormat="1" applyFill="1" applyBorder="1" applyAlignment="1">
      <alignment horizontal="center" vertical="center"/>
    </xf>
    <xf numFmtId="1" fontId="0" fillId="6" borderId="32" xfId="0" applyNumberFormat="1" applyFill="1" applyBorder="1" applyAlignment="1">
      <alignment horizontal="center" vertical="center"/>
    </xf>
    <xf numFmtId="1" fontId="0" fillId="6" borderId="33" xfId="0" applyNumberFormat="1" applyFill="1" applyBorder="1" applyAlignment="1">
      <alignment horizontal="center" vertical="center"/>
    </xf>
    <xf numFmtId="1" fontId="0" fillId="6" borderId="34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12" borderId="36" xfId="0" applyFill="1" applyBorder="1"/>
    <xf numFmtId="0" fontId="0" fillId="12" borderId="37" xfId="0" applyFill="1" applyBorder="1"/>
    <xf numFmtId="0" fontId="0" fillId="12" borderId="24" xfId="0" applyFill="1" applyBorder="1"/>
    <xf numFmtId="0" fontId="0" fillId="12" borderId="38" xfId="0" applyFill="1" applyBorder="1"/>
    <xf numFmtId="0" fontId="0" fillId="12" borderId="8" xfId="0" applyFill="1" applyBorder="1"/>
    <xf numFmtId="0" fontId="0" fillId="12" borderId="18" xfId="0" applyFill="1" applyBorder="1"/>
    <xf numFmtId="0" fontId="19" fillId="1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" fontId="0" fillId="6" borderId="6" xfId="0" applyNumberFormat="1" applyFill="1" applyBorder="1" applyAlignment="1">
      <alignment horizontal="center" vertical="center"/>
    </xf>
    <xf numFmtId="1" fontId="0" fillId="6" borderId="39" xfId="0" applyNumberForma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6" borderId="5" xfId="0" applyFont="1" applyFill="1" applyBorder="1" applyAlignment="1">
      <alignment horizontal="center" vertical="center"/>
    </xf>
    <xf numFmtId="0" fontId="13" fillId="12" borderId="24" xfId="0" applyFont="1" applyFill="1" applyBorder="1"/>
    <xf numFmtId="0" fontId="12" fillId="12" borderId="24" xfId="0" applyFont="1" applyFill="1" applyBorder="1"/>
    <xf numFmtId="0" fontId="15" fillId="12" borderId="24" xfId="0" applyFont="1" applyFill="1" applyBorder="1" applyAlignment="1">
      <alignment vertical="center"/>
    </xf>
    <xf numFmtId="0" fontId="14" fillId="12" borderId="24" xfId="0" applyFont="1" applyFill="1" applyBorder="1" applyAlignment="1">
      <alignment vertical="center"/>
    </xf>
    <xf numFmtId="0" fontId="17" fillId="12" borderId="18" xfId="0" applyFont="1" applyFill="1" applyBorder="1" applyAlignment="1">
      <alignment vertical="center"/>
    </xf>
    <xf numFmtId="0" fontId="12" fillId="12" borderId="24" xfId="0" applyFont="1" applyFill="1" applyBorder="1" applyAlignment="1">
      <alignment vertical="center"/>
    </xf>
    <xf numFmtId="0" fontId="20" fillId="12" borderId="35" xfId="0" applyFont="1" applyFill="1" applyBorder="1"/>
    <xf numFmtId="0" fontId="1" fillId="6" borderId="4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12" borderId="0" xfId="0" applyFont="1" applyFill="1"/>
    <xf numFmtId="0" fontId="12" fillId="12" borderId="0" xfId="0" applyFont="1" applyFill="1" applyAlignment="1">
      <alignment horizontal="left" vertical="center" indent="1"/>
    </xf>
    <xf numFmtId="0" fontId="21" fillId="0" borderId="0" xfId="2"/>
    <xf numFmtId="0" fontId="22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0" fillId="13" borderId="1" xfId="0" applyFill="1" applyBorder="1" applyAlignment="1">
      <alignment horizontal="left" vertical="center"/>
    </xf>
    <xf numFmtId="0" fontId="9" fillId="8" borderId="10" xfId="0" applyFont="1" applyFill="1" applyBorder="1" applyAlignment="1">
      <alignment horizontal="center"/>
    </xf>
    <xf numFmtId="0" fontId="9" fillId="8" borderId="40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" fillId="6" borderId="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2" fontId="1" fillId="7" borderId="3" xfId="0" applyNumberFormat="1" applyFont="1" applyFill="1" applyBorder="1" applyAlignment="1">
      <alignment horizontal="center"/>
    </xf>
    <xf numFmtId="2" fontId="1" fillId="7" borderId="4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CB5D089A-0A6F-46B5-B71B-B5EBF0FC9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83155</xdr:rowOff>
    </xdr:from>
    <xdr:to>
      <xdr:col>0</xdr:col>
      <xdr:colOff>1755124</xdr:colOff>
      <xdr:row>3</xdr:row>
      <xdr:rowOff>166612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528D3C-C2C5-464E-8F05-02829C7C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3155"/>
          <a:ext cx="1687088" cy="632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217767</xdr:colOff>
      <xdr:row>87</xdr:row>
      <xdr:rowOff>22413</xdr:rowOff>
    </xdr:from>
    <xdr:to>
      <xdr:col>1</xdr:col>
      <xdr:colOff>1106207</xdr:colOff>
      <xdr:row>89</xdr:row>
      <xdr:rowOff>107418</xdr:rowOff>
    </xdr:to>
    <xdr:pic>
      <xdr:nvPicPr>
        <xdr:cNvPr id="4" name="Image 3" descr="Formula">
          <a:extLst>
            <a:ext uri="{FF2B5EF4-FFF2-40B4-BE49-F238E27FC236}">
              <a16:creationId xmlns:a16="http://schemas.microsoft.com/office/drawing/2014/main" id="{AA12427F-5B91-DD50-F7C0-E6E8AF58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67" y="17918207"/>
          <a:ext cx="2625352" cy="46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161738</xdr:colOff>
      <xdr:row>90</xdr:row>
      <xdr:rowOff>22414</xdr:rowOff>
    </xdr:from>
    <xdr:to>
      <xdr:col>2</xdr:col>
      <xdr:colOff>92822</xdr:colOff>
      <xdr:row>91</xdr:row>
      <xdr:rowOff>162455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29BE8F-88E7-9C1A-4B0E-20CA7F1D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38" y="18624179"/>
          <a:ext cx="3337672" cy="312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1285875</xdr:colOff>
      <xdr:row>115</xdr:row>
      <xdr:rowOff>38100</xdr:rowOff>
    </xdr:to>
    <xdr:pic>
      <xdr:nvPicPr>
        <xdr:cNvPr id="2" name="Image 1" descr="Formula">
          <a:extLst>
            <a:ext uri="{FF2B5EF4-FFF2-40B4-BE49-F238E27FC236}">
              <a16:creationId xmlns:a16="http://schemas.microsoft.com/office/drawing/2014/main" id="{C91F9E91-D5DD-4AAA-9B8E-C1172288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54875"/>
          <a:ext cx="12827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361763</xdr:colOff>
      <xdr:row>122</xdr:row>
      <xdr:rowOff>59116</xdr:rowOff>
    </xdr:from>
    <xdr:to>
      <xdr:col>5</xdr:col>
      <xdr:colOff>450703</xdr:colOff>
      <xdr:row>132</xdr:row>
      <xdr:rowOff>173914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99D27E1-CF64-41E4-842C-D83FAFA15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763" y="24106940"/>
          <a:ext cx="6154497" cy="19077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 LEBANNIER" id="{BE65335F-655B-460B-BA7A-336DD8056464}" userId="S::david.lebannier@pouget.onmicrosoft.com::ac9586eb-8176-49a4-bb9f-dd438702821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5-06-11T10:52:43.96" personId="{BE65335F-655B-460B-BA7A-336DD8056464}" id="{4C0E6C1B-1B29-443C-A569-89D9C113B14A}">
    <text>Consommation de sèche linge constaté dans Panelelectdom</text>
  </threadedComment>
  <threadedComment ref="U3" dT="2025-06-11T10:52:15.09" personId="{BE65335F-655B-460B-BA7A-336DD8056464}" id="{73E1A612-E74D-45CB-8371-C0E6B15BB9F5}">
    <text>Gain de consommation constaté dans PANELECTDOM 65 ventilé selon la surface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eur-lex.europa.eu/legal-content/FR/ALL/?uri=celex:32019R2017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eur-lex.europa.eu/legal-content/FR/ALL/?uri=CELEX%3A32010R1061" TargetMode="External"/><Relationship Id="rId1" Type="http://schemas.openxmlformats.org/officeDocument/2006/relationships/hyperlink" Target="https://eur-lex.europa.eu/legal-content/FR/TXT/?uri=CELEX:32019R2014" TargetMode="External"/><Relationship Id="rId6" Type="http://schemas.openxmlformats.org/officeDocument/2006/relationships/hyperlink" Target="https://eur-lex.europa.eu/legal-content/FR/ALL/?uri=CELEX%3A32012R0392" TargetMode="External"/><Relationship Id="rId5" Type="http://schemas.openxmlformats.org/officeDocument/2006/relationships/hyperlink" Target="https://www.gifam.fr/2024/10/04/seche-linge-tout-savoir-sur-la-nouvelle-etiquette-energie/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eur-lex.europa.eu/legal-content/FR/ALL/?uri=CELEX:32019R2016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1E71-6A2B-40D3-A197-2C054DDFCCAE}">
  <dimension ref="A1:C27"/>
  <sheetViews>
    <sheetView showGridLines="0" showRowColHeaders="0" tabSelected="1" zoomScale="120" workbookViewId="0">
      <selection activeCell="G10" sqref="G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4.4" x14ac:dyDescent="0.3"/>
  <cols>
    <col min="1" max="1" width="40.88671875" style="131" customWidth="1"/>
    <col min="2" max="2" width="31.88671875" style="131" customWidth="1"/>
    <col min="3" max="16384" width="11.5546875" style="131"/>
  </cols>
  <sheetData>
    <row r="1" spans="1:3" x14ac:dyDescent="0.3">
      <c r="A1" s="132" t="s">
        <v>226</v>
      </c>
      <c r="B1" s="133"/>
      <c r="C1" s="133"/>
    </row>
    <row r="2" spans="1:3" x14ac:dyDescent="0.3">
      <c r="A2" s="133"/>
      <c r="B2" s="133"/>
      <c r="C2" s="133"/>
    </row>
    <row r="3" spans="1:3" x14ac:dyDescent="0.3">
      <c r="A3" s="133"/>
      <c r="B3" s="133"/>
      <c r="C3" s="133"/>
    </row>
    <row r="4" spans="1:3" ht="24.6" customHeight="1" x14ac:dyDescent="0.3">
      <c r="A4" s="133"/>
      <c r="B4" s="133"/>
      <c r="C4" s="133"/>
    </row>
    <row r="5" spans="1:3" x14ac:dyDescent="0.3">
      <c r="A5" s="133"/>
      <c r="B5" s="133"/>
      <c r="C5" s="133"/>
    </row>
    <row r="6" spans="1:3" x14ac:dyDescent="0.3">
      <c r="A6" s="133"/>
      <c r="B6" s="133"/>
      <c r="C6" s="133"/>
    </row>
    <row r="7" spans="1:3" x14ac:dyDescent="0.3">
      <c r="A7" s="133"/>
      <c r="B7" s="133"/>
      <c r="C7" s="133"/>
    </row>
    <row r="8" spans="1:3" x14ac:dyDescent="0.3">
      <c r="A8" s="133"/>
      <c r="B8" s="133"/>
      <c r="C8" s="133"/>
    </row>
    <row r="9" spans="1:3" x14ac:dyDescent="0.3">
      <c r="A9" s="133"/>
      <c r="B9" s="133"/>
      <c r="C9" s="133"/>
    </row>
    <row r="10" spans="1:3" x14ac:dyDescent="0.3">
      <c r="A10" s="133"/>
      <c r="B10" s="133"/>
      <c r="C10" s="133"/>
    </row>
    <row r="11" spans="1:3" x14ac:dyDescent="0.3">
      <c r="A11" s="133"/>
      <c r="B11" s="133"/>
      <c r="C11" s="133"/>
    </row>
    <row r="12" spans="1:3" x14ac:dyDescent="0.3">
      <c r="A12" s="133"/>
      <c r="B12" s="133"/>
      <c r="C12" s="133"/>
    </row>
    <row r="13" spans="1:3" x14ac:dyDescent="0.3">
      <c r="A13" s="133"/>
      <c r="B13" s="133"/>
      <c r="C13" s="133"/>
    </row>
    <row r="14" spans="1:3" x14ac:dyDescent="0.3">
      <c r="A14" s="133"/>
      <c r="B14" s="133"/>
      <c r="C14" s="133"/>
    </row>
    <row r="15" spans="1:3" x14ac:dyDescent="0.3">
      <c r="A15" s="133"/>
      <c r="B15" s="133"/>
      <c r="C15" s="133"/>
    </row>
    <row r="16" spans="1:3" x14ac:dyDescent="0.3">
      <c r="A16" s="133"/>
      <c r="B16" s="133"/>
      <c r="C16" s="133"/>
    </row>
    <row r="17" spans="1:3" x14ac:dyDescent="0.3">
      <c r="A17" s="133"/>
      <c r="B17" s="133"/>
      <c r="C17" s="133"/>
    </row>
    <row r="18" spans="1:3" x14ac:dyDescent="0.3">
      <c r="A18" s="133"/>
      <c r="B18" s="133"/>
      <c r="C18" s="133"/>
    </row>
    <row r="19" spans="1:3" x14ac:dyDescent="0.3">
      <c r="A19" s="133"/>
      <c r="B19" s="133"/>
      <c r="C19" s="133"/>
    </row>
    <row r="20" spans="1:3" x14ac:dyDescent="0.3">
      <c r="A20" s="133"/>
      <c r="B20" s="133"/>
      <c r="C20" s="133"/>
    </row>
    <row r="21" spans="1:3" x14ac:dyDescent="0.3">
      <c r="A21" s="133"/>
      <c r="B21" s="133"/>
      <c r="C21" s="133"/>
    </row>
    <row r="22" spans="1:3" x14ac:dyDescent="0.3">
      <c r="A22" s="133"/>
      <c r="B22" s="133"/>
      <c r="C22" s="133"/>
    </row>
    <row r="23" spans="1:3" x14ac:dyDescent="0.3">
      <c r="A23" s="133"/>
      <c r="B23" s="133"/>
      <c r="C23" s="133"/>
    </row>
    <row r="24" spans="1:3" x14ac:dyDescent="0.3">
      <c r="A24" s="133"/>
      <c r="B24" s="133"/>
      <c r="C24" s="133"/>
    </row>
    <row r="25" spans="1:3" x14ac:dyDescent="0.3">
      <c r="A25" s="133"/>
      <c r="B25" s="133"/>
      <c r="C25" s="133"/>
    </row>
    <row r="26" spans="1:3" x14ac:dyDescent="0.3">
      <c r="A26" s="133"/>
      <c r="B26" s="133"/>
      <c r="C26" s="133"/>
    </row>
    <row r="27" spans="1:3" x14ac:dyDescent="0.3">
      <c r="A27" s="133"/>
      <c r="B27" s="133"/>
      <c r="C27" s="133"/>
    </row>
  </sheetData>
  <sheetProtection selectLockedCells="1" selectUnlockedCells="1"/>
  <mergeCells count="1">
    <mergeCell ref="A1:C2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2CD8-C158-4B05-99E5-F3B29535CF3C}">
  <dimension ref="B2:Q33"/>
  <sheetViews>
    <sheetView zoomScaleNormal="100" workbookViewId="0">
      <selection activeCell="F9" sqref="F9"/>
    </sheetView>
  </sheetViews>
  <sheetFormatPr baseColWidth="10" defaultColWidth="10.77734375" defaultRowHeight="14.4" x14ac:dyDescent="0.3"/>
  <cols>
    <col min="1" max="1" width="2" style="87" customWidth="1"/>
    <col min="2" max="2" width="5.44140625" style="87" customWidth="1"/>
    <col min="3" max="16384" width="10.77734375" style="87"/>
  </cols>
  <sheetData>
    <row r="2" spans="2:14" ht="23.4" x14ac:dyDescent="0.3">
      <c r="B2" s="105" t="s">
        <v>157</v>
      </c>
    </row>
    <row r="3" spans="2:14" x14ac:dyDescent="0.3">
      <c r="B3" t="s">
        <v>187</v>
      </c>
    </row>
    <row r="4" spans="2:14" x14ac:dyDescent="0.3">
      <c r="B4"/>
    </row>
    <row r="5" spans="2:14" x14ac:dyDescent="0.3">
      <c r="B5" t="s">
        <v>188</v>
      </c>
    </row>
    <row r="6" spans="2:14" x14ac:dyDescent="0.3">
      <c r="B6"/>
    </row>
    <row r="7" spans="2:14" x14ac:dyDescent="0.3">
      <c r="B7" t="s">
        <v>189</v>
      </c>
    </row>
    <row r="8" spans="2:14" x14ac:dyDescent="0.3">
      <c r="B8"/>
    </row>
    <row r="9" spans="2:14" x14ac:dyDescent="0.3">
      <c r="B9" t="s">
        <v>191</v>
      </c>
    </row>
    <row r="10" spans="2:14" x14ac:dyDescent="0.3">
      <c r="B10"/>
    </row>
    <row r="11" spans="2:14" x14ac:dyDescent="0.3">
      <c r="B11" t="s">
        <v>190</v>
      </c>
    </row>
    <row r="14" spans="2:14" ht="23.4" x14ac:dyDescent="0.3">
      <c r="B14" s="105" t="s">
        <v>158</v>
      </c>
    </row>
    <row r="16" spans="2:14" ht="15.6" x14ac:dyDescent="0.3">
      <c r="B16" s="124" t="s">
        <v>159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00"/>
    </row>
    <row r="17" spans="2:17" ht="15.6" x14ac:dyDescent="0.3">
      <c r="B17" s="118"/>
      <c r="N17" s="102"/>
    </row>
    <row r="18" spans="2:17" x14ac:dyDescent="0.3">
      <c r="B18" s="119" t="s">
        <v>160</v>
      </c>
      <c r="N18" s="102"/>
    </row>
    <row r="19" spans="2:17" x14ac:dyDescent="0.3">
      <c r="B19" s="120" t="s">
        <v>161</v>
      </c>
      <c r="N19" s="102"/>
    </row>
    <row r="20" spans="2:17" x14ac:dyDescent="0.3">
      <c r="B20" s="101"/>
      <c r="C20" s="129"/>
      <c r="N20" s="102"/>
    </row>
    <row r="21" spans="2:17" ht="15.6" x14ac:dyDescent="0.3">
      <c r="B21" s="121" t="s">
        <v>225</v>
      </c>
      <c r="N21" s="102"/>
    </row>
    <row r="22" spans="2:17" x14ac:dyDescent="0.3">
      <c r="B22" s="101"/>
      <c r="C22" s="130" t="s">
        <v>223</v>
      </c>
      <c r="N22" s="102"/>
    </row>
    <row r="23" spans="2:17" x14ac:dyDescent="0.3">
      <c r="B23" s="101"/>
      <c r="C23" s="130" t="s">
        <v>222</v>
      </c>
      <c r="N23" s="102"/>
    </row>
    <row r="24" spans="2:17" x14ac:dyDescent="0.3">
      <c r="B24" s="101"/>
      <c r="N24" s="102"/>
    </row>
    <row r="25" spans="2:17" x14ac:dyDescent="0.3">
      <c r="B25" s="122" t="s">
        <v>162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103"/>
    </row>
    <row r="29" spans="2:17" ht="15.6" x14ac:dyDescent="0.3">
      <c r="B29" s="124" t="s">
        <v>163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</row>
    <row r="30" spans="2:17" x14ac:dyDescent="0.3">
      <c r="B30" s="101"/>
      <c r="Q30" s="102"/>
    </row>
    <row r="31" spans="2:17" x14ac:dyDescent="0.3">
      <c r="B31" s="123" t="s">
        <v>224</v>
      </c>
      <c r="Q31" s="102"/>
    </row>
    <row r="32" spans="2:17" x14ac:dyDescent="0.3">
      <c r="B32" s="101"/>
      <c r="Q32" s="102"/>
    </row>
    <row r="33" spans="2:17" x14ac:dyDescent="0.3">
      <c r="B33" s="104" t="s">
        <v>164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10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C06C-B0A5-44A4-8C84-2A0DAEB40CAC}">
  <dimension ref="A2:AW41"/>
  <sheetViews>
    <sheetView zoomScale="85" zoomScaleNormal="85" workbookViewId="0">
      <selection activeCell="E24" sqref="E24"/>
    </sheetView>
  </sheetViews>
  <sheetFormatPr baseColWidth="10" defaultColWidth="11.44140625" defaultRowHeight="14.4" x14ac:dyDescent="0.3"/>
  <cols>
    <col min="1" max="1" width="25.88671875" customWidth="1"/>
    <col min="2" max="2" width="13.33203125" customWidth="1"/>
    <col min="3" max="3" width="16.6640625" customWidth="1"/>
    <col min="4" max="4" width="18.109375" customWidth="1"/>
    <col min="5" max="5" width="18.5546875" customWidth="1"/>
    <col min="6" max="6" width="21.77734375" bestFit="1" customWidth="1"/>
    <col min="7" max="7" width="15.6640625" customWidth="1"/>
    <col min="8" max="8" width="9.77734375" bestFit="1" customWidth="1"/>
    <col min="9" max="9" width="17.21875" bestFit="1" customWidth="1"/>
    <col min="10" max="10" width="10.21875" bestFit="1" customWidth="1"/>
    <col min="11" max="11" width="9.33203125" bestFit="1" customWidth="1"/>
    <col min="12" max="12" width="10.33203125" style="1" bestFit="1" customWidth="1"/>
    <col min="13" max="14" width="11.109375" style="1" customWidth="1"/>
    <col min="15" max="15" width="14.109375" customWidth="1"/>
    <col min="16" max="16" width="20.77734375" customWidth="1"/>
    <col min="17" max="17" width="13.5546875" customWidth="1"/>
    <col min="18" max="19" width="11.109375" customWidth="1"/>
    <col min="20" max="20" width="14.88671875" customWidth="1"/>
    <col min="21" max="21" width="23.5546875" customWidth="1"/>
    <col min="22" max="22" width="18.6640625" customWidth="1"/>
    <col min="23" max="23" width="19.44140625" customWidth="1"/>
    <col min="24" max="24" width="11.109375" customWidth="1"/>
    <col min="25" max="30" width="10.44140625" customWidth="1"/>
    <col min="31" max="47" width="9.88671875" customWidth="1"/>
    <col min="50" max="50" width="14.5546875" bestFit="1" customWidth="1"/>
  </cols>
  <sheetData>
    <row r="2" spans="1:49" ht="33" customHeight="1" x14ac:dyDescent="0.3">
      <c r="A2" s="25" t="s">
        <v>204</v>
      </c>
      <c r="B2" s="22">
        <f>SUM(D9:D15)</f>
        <v>642</v>
      </c>
      <c r="C2" s="134" t="s">
        <v>207</v>
      </c>
      <c r="D2" s="134"/>
      <c r="M2"/>
      <c r="N2"/>
    </row>
    <row r="3" spans="1:49" ht="33" customHeight="1" x14ac:dyDescent="0.3">
      <c r="A3" s="25" t="s">
        <v>205</v>
      </c>
      <c r="B3" s="24">
        <f>24.8*2.3</f>
        <v>57.04</v>
      </c>
      <c r="C3" s="134" t="s">
        <v>217</v>
      </c>
      <c r="D3" s="134"/>
      <c r="M3"/>
      <c r="N3"/>
    </row>
    <row r="4" spans="1:49" ht="33" customHeight="1" x14ac:dyDescent="0.3">
      <c r="A4" s="113" t="s">
        <v>206</v>
      </c>
      <c r="B4" s="114">
        <f>B3-B5</f>
        <v>40.786587936228294</v>
      </c>
      <c r="C4" s="134" t="s">
        <v>217</v>
      </c>
      <c r="D4" s="134"/>
      <c r="M4"/>
      <c r="N4"/>
    </row>
    <row r="5" spans="1:49" ht="48" customHeight="1" x14ac:dyDescent="0.3">
      <c r="A5" s="113" t="s">
        <v>203</v>
      </c>
      <c r="B5" s="115">
        <f>SUM(E9:E15)/B2*2.3</f>
        <v>16.253412063771705</v>
      </c>
      <c r="C5" s="134" t="s">
        <v>217</v>
      </c>
      <c r="D5" s="134"/>
      <c r="H5" s="21"/>
      <c r="I5" s="21"/>
      <c r="J5" s="21"/>
      <c r="K5" s="21"/>
      <c r="M5"/>
      <c r="N5"/>
    </row>
    <row r="6" spans="1:49" ht="15" thickBot="1" x14ac:dyDescent="0.35"/>
    <row r="7" spans="1:49" s="17" customFormat="1" ht="15.75" customHeight="1" thickBot="1" x14ac:dyDescent="0.35">
      <c r="A7" s="139" t="s">
        <v>0</v>
      </c>
      <c r="B7" s="144" t="s">
        <v>1</v>
      </c>
      <c r="C7" s="144" t="s">
        <v>218</v>
      </c>
      <c r="D7" s="150" t="s">
        <v>219</v>
      </c>
      <c r="E7" s="150" t="s">
        <v>208</v>
      </c>
      <c r="F7" s="150" t="s">
        <v>209</v>
      </c>
      <c r="G7" s="151" t="s">
        <v>210</v>
      </c>
      <c r="H7" s="152" t="s">
        <v>2</v>
      </c>
      <c r="I7" s="153"/>
      <c r="J7" s="154"/>
      <c r="K7" s="146" t="s">
        <v>96</v>
      </c>
      <c r="L7" s="147"/>
      <c r="M7" s="141" t="s">
        <v>4</v>
      </c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2"/>
      <c r="Y7" s="148" t="s">
        <v>124</v>
      </c>
      <c r="Z7" s="148"/>
      <c r="AA7" s="148"/>
      <c r="AB7" s="148"/>
      <c r="AC7" s="148"/>
      <c r="AD7" s="149"/>
      <c r="AE7" s="143" t="s">
        <v>5</v>
      </c>
      <c r="AF7" s="143"/>
      <c r="AG7" s="143"/>
      <c r="AH7" s="143"/>
      <c r="AI7" s="143"/>
      <c r="AJ7" s="143"/>
      <c r="AK7" s="143"/>
      <c r="AL7" s="135" t="s">
        <v>85</v>
      </c>
      <c r="AM7" s="135"/>
      <c r="AN7" s="136"/>
      <c r="AO7" s="137" t="s">
        <v>86</v>
      </c>
      <c r="AP7" s="137"/>
      <c r="AQ7" s="137"/>
      <c r="AR7" s="137"/>
      <c r="AS7" s="137"/>
      <c r="AT7" s="137"/>
      <c r="AU7" s="138"/>
    </row>
    <row r="8" spans="1:49" ht="57.6" x14ac:dyDescent="0.3">
      <c r="A8" s="140"/>
      <c r="B8" s="145"/>
      <c r="C8" s="145"/>
      <c r="D8" s="150"/>
      <c r="E8" s="150"/>
      <c r="F8" s="150"/>
      <c r="G8" s="151"/>
      <c r="H8" s="71" t="s">
        <v>92</v>
      </c>
      <c r="I8" s="67" t="s">
        <v>89</v>
      </c>
      <c r="J8" s="72" t="s">
        <v>119</v>
      </c>
      <c r="K8" s="61" t="s">
        <v>90</v>
      </c>
      <c r="L8" s="62" t="s">
        <v>119</v>
      </c>
      <c r="M8" s="126" t="s">
        <v>17</v>
      </c>
      <c r="N8" s="66" t="s">
        <v>7</v>
      </c>
      <c r="O8" s="66" t="s">
        <v>199</v>
      </c>
      <c r="P8" s="66" t="s">
        <v>200</v>
      </c>
      <c r="Q8" s="66" t="s">
        <v>154</v>
      </c>
      <c r="R8" s="66" t="s">
        <v>8</v>
      </c>
      <c r="S8" s="66" t="s">
        <v>9</v>
      </c>
      <c r="T8" s="66" t="s">
        <v>156</v>
      </c>
      <c r="U8" s="66" t="s">
        <v>193</v>
      </c>
      <c r="V8" s="66" t="s">
        <v>155</v>
      </c>
      <c r="W8" s="66" t="s">
        <v>121</v>
      </c>
      <c r="X8" s="127" t="s">
        <v>119</v>
      </c>
      <c r="Y8" s="63" t="s">
        <v>17</v>
      </c>
      <c r="Z8" s="64" t="s">
        <v>7</v>
      </c>
      <c r="AA8" s="64" t="s">
        <v>8</v>
      </c>
      <c r="AB8" s="64" t="s">
        <v>120</v>
      </c>
      <c r="AC8" s="64" t="s">
        <v>121</v>
      </c>
      <c r="AD8" s="65" t="s">
        <v>119</v>
      </c>
      <c r="AE8" s="68" t="s">
        <v>17</v>
      </c>
      <c r="AF8" s="69" t="s">
        <v>7</v>
      </c>
      <c r="AG8" s="69" t="s">
        <v>8</v>
      </c>
      <c r="AH8" s="69" t="s">
        <v>9</v>
      </c>
      <c r="AI8" s="69" t="s">
        <v>120</v>
      </c>
      <c r="AJ8" s="69" t="s">
        <v>122</v>
      </c>
      <c r="AK8" s="70" t="s">
        <v>119</v>
      </c>
      <c r="AL8" s="71" t="s">
        <v>92</v>
      </c>
      <c r="AM8" s="67" t="s">
        <v>140</v>
      </c>
      <c r="AN8" s="72" t="s">
        <v>119</v>
      </c>
      <c r="AO8" s="107" t="s">
        <v>17</v>
      </c>
      <c r="AP8" s="80" t="s">
        <v>7</v>
      </c>
      <c r="AQ8" s="80" t="s">
        <v>8</v>
      </c>
      <c r="AR8" s="80" t="s">
        <v>9</v>
      </c>
      <c r="AS8" s="80" t="s">
        <v>120</v>
      </c>
      <c r="AT8" s="80" t="s">
        <v>121</v>
      </c>
      <c r="AU8" s="62" t="s">
        <v>119</v>
      </c>
    </row>
    <row r="9" spans="1:49" x14ac:dyDescent="0.3">
      <c r="A9" s="39" t="s">
        <v>18</v>
      </c>
      <c r="B9" s="3">
        <v>3</v>
      </c>
      <c r="C9" s="6">
        <v>20</v>
      </c>
      <c r="D9" s="94">
        <f>IF(A9="","",C9*B9)</f>
        <v>60</v>
      </c>
      <c r="E9" s="94">
        <f t="shared" ref="E9:E15" si="0">IF(B9=0,"",SUM(J9,L9,X9,AD9,AK9,AN9,AU9))</f>
        <v>702.71728275862063</v>
      </c>
      <c r="F9" s="108">
        <f>E9/D9</f>
        <v>11.711954712643678</v>
      </c>
      <c r="G9" s="96">
        <f>F9*2.3</f>
        <v>26.937495839080459</v>
      </c>
      <c r="H9" s="39" t="s">
        <v>11</v>
      </c>
      <c r="I9" s="59" t="s">
        <v>220</v>
      </c>
      <c r="J9" s="40">
        <f>IFERROR(IF(H9="Oui",IF(OR(I9="Salle de bain",I9="Buanderie ventilée"),_xlfn.XLOOKUP(A9,'02_DONNEES-EXIGENCES'!$O$4:$O$8,'02_DONNEES-EXIGENCES'!$T$4:$T$8)*B9*0.4,_xlfn.XLOOKUP(A9,'02_DONNEES-EXIGENCES'!$O$4:$O$8,'02_DONNEES-EXIGENCES'!$T$4:$T$8)*B9),""),"")</f>
        <v>124.82758620689654</v>
      </c>
      <c r="K9" s="39" t="s">
        <v>11</v>
      </c>
      <c r="L9" s="40">
        <f>IF(K9="Oui",_xlfn.XLOOKUP(A9,'02_DONNEES-EXIGENCES'!$O$4:$O$8,'02_DONNEES-EXIGENCES'!$V$4:$V$8)*B9,"")</f>
        <v>109.5</v>
      </c>
      <c r="M9" s="51" t="str">
        <f>IFERROR(_xlfn.XLOOKUP(A9,'02_DONNEES-EXIGENCES'!$B$4:$B$10,'02_DONNEES-EXIGENCES'!$G$4:$G$10),"")</f>
        <v>A</v>
      </c>
      <c r="N9" s="3" t="s">
        <v>12</v>
      </c>
      <c r="O9" s="3" t="s">
        <v>125</v>
      </c>
      <c r="P9" s="3" t="s">
        <v>213</v>
      </c>
      <c r="Q9" s="3"/>
      <c r="R9" s="22" t="str">
        <f>IFERROR(_xlfn.XLOOKUP(A9,'02_DONNEES-EXIGENCES'!$B$4:$B$10,'02_DONNEES-EXIGENCES'!$F$4:$F$10),"")</f>
        <v>6 à 7kg</v>
      </c>
      <c r="S9" s="24">
        <f>_xlfn.XLOOKUP(A9,'02_DONNEES-EXIGENCES'!$O$4:$O$8,'02_DONNEES-EXIGENCES'!$Q$4:$Q$8)</f>
        <v>50.574712643678161</v>
      </c>
      <c r="T9" s="23">
        <f>IFERROR(INDEX('02_DONNEES-EXIGENCES'!$G$18:$L$23, MATCH(N9, '02_DONNEES-EXIGENCES'!$F$18:$F$23, 0), MATCH(_xlfn.NUMBERVALUE(LEFT(R9,1)), '02_DONNEES-EXIGENCES'!$G$16:$L$16, 0))*S9*B9,"")</f>
        <v>63.874648275862072</v>
      </c>
      <c r="U9" s="23" t="str">
        <f>IFERROR(IF(O9="Oui",INDEX('02_DONNEES-EXIGENCES'!$G$18:$L$23, MATCH(N9, '02_DONNEES-EXIGENCES'!$F$18:$F$23, 0), MATCH(_xlfn.NUMBERVALUE(LEFT(R9,1)), '02_DONNEES-EXIGENCES'!$G$16:$L$16, 0))*S9*0.54*B9,""),"")</f>
        <v/>
      </c>
      <c r="V9" s="23" t="str">
        <f>IFERROR(IF(O9="Oui",IF(P9="100% Bois",0,((T9*0.46+'02_DONNEES-EXIGENCES'!$Q$26)/(_xlfn.XLOOKUP(P9,'02_DONNEES-EXIGENCES'!$O$18:$O$23,'02_DONNEES-EXIGENCES'!$P$18:$P$23)+(Q9/100)))*B9),""),"Entrez un équipement")</f>
        <v/>
      </c>
      <c r="W9" s="23">
        <f>IFERROR(INDEX('02_DONNEES-EXIGENCES'!$G$18:$L$23, MATCH(_xlfn.XLOOKUP(M9,'02_DONNEES-EXIGENCES'!$Z$4:$Z$10,'02_DONNEES-EXIGENCES'!$AA$4:$AA$10), '02_DONNEES-EXIGENCES'!$F$18:$F$23, 0), MATCH(_xlfn.NUMBERVALUE(LEFT(R9,1)), '02_DONNEES-EXIGENCES'!$G$16:$L$16, 0))*S9*B9,"")</f>
        <v>98.268689655172409</v>
      </c>
      <c r="X9" s="57">
        <f t="shared" ref="X9:X15" si="1">IFERROR(W9-IF(O9="Oui",U9+V9,T9),"")</f>
        <v>34.394041379310337</v>
      </c>
      <c r="Y9" s="51" t="str">
        <f>IFERROR(_xlfn.XLOOKUP(A9,'02_DONNEES-EXIGENCES'!$B$4:$B$10,'02_DONNEES-EXIGENCES'!$E$4:$E$10),"")</f>
        <v>D</v>
      </c>
      <c r="Z9" s="3" t="s">
        <v>46</v>
      </c>
      <c r="AA9" s="22" t="str">
        <f>IFERROR(_xlfn.XLOOKUP(A9,'02_DONNEES-EXIGENCES'!$B$4:$B$10,'02_DONNEES-EXIGENCES'!$D$4:$D$10),"")</f>
        <v>80 à 130L</v>
      </c>
      <c r="AB9" s="23">
        <f>IFERROR(INDEX('02_DONNEES-EXIGENCES'!$G$40:$O$45, MATCH(Z9,'02_DONNEES-EXIGENCES'!$F$40:$F$45, 0), MATCH(LEFT(AA9,FIND(" à ",AA9)-1)+0, '02_DONNEES-EXIGENCES'!$G$38:$P$38, 0))*B9,"")</f>
        <v>354.24</v>
      </c>
      <c r="AC9" s="23">
        <f>IFERROR(INDEX('02_DONNEES-EXIGENCES'!$G$40:$O$46, MATCH(_xlfn.XLOOKUP(Y9,'02_DONNEES-EXIGENCES'!$Z$4:$Z$10,'02_DONNEES-EXIGENCES'!$AA$4:$AA$10), '02_DONNEES-EXIGENCES'!$F$40:$F$46, 0), MATCH(LEFT(AA9,FIND(" à ",AA9)-1)+0, '02_DONNEES-EXIGENCES'!$G$38:$O$38, 0))*B9,"")</f>
        <v>664.19999999999993</v>
      </c>
      <c r="AD9" s="57">
        <f t="shared" ref="AD9:AD15" si="2">IF(OR(A9="",Z9="Aucun"),"",AC9-AB9)</f>
        <v>309.95999999999992</v>
      </c>
      <c r="AE9" s="49" t="str">
        <f>IFERROR(_xlfn.XLOOKUP(A9,'02_DONNEES-EXIGENCES'!$B$4:$B$10,'02_DONNEES-EXIGENCES'!$I$4:$I$10),"")</f>
        <v>C</v>
      </c>
      <c r="AF9" s="3" t="s">
        <v>23</v>
      </c>
      <c r="AG9" s="22" t="str">
        <f>IFERROR(_xlfn.XLOOKUP(A9,'02_DONNEES-EXIGENCES'!$B$4:$B$10,'02_DONNEES-EXIGENCES'!$H$4:$H$10),"")</f>
        <v>7 à 10 couv.</v>
      </c>
      <c r="AH9" s="24">
        <f>_xlfn.XLOOKUP(A9,'02_DONNEES-EXIGENCES'!$O$4:$O$8,'02_DONNEES-EXIGENCES'!$R$4:$R$8)</f>
        <v>64.367816091954026</v>
      </c>
      <c r="AI9" s="24">
        <f>IFERROR(INDEX('02_DONNEES-EXIGENCES'!$G$55:$P$60, MATCH(AF9, '02_DONNEES-EXIGENCES'!$F$55:$F$60, 0), MATCH(LEFT(AG9,FIND(" à ",AG9)-1)+0, '02_DONNEES-EXIGENCES'!$G$53:$P$53, 0))*AH9*B9,"")</f>
        <v>91.762758620689652</v>
      </c>
      <c r="AJ9" s="24">
        <f>IFERROR(INDEX('02_DONNEES-EXIGENCES'!$G$55:$P$60, MATCH(_xlfn.XLOOKUP(AE9,'02_DONNEES-EXIGENCES'!$Z$4:$Z$10,'02_DONNEES-EXIGENCES'!$AA$4:$AA$10), '02_DONNEES-EXIGENCES'!$F$55:$F$60, 0), MATCH(LEFT(AG9,FIND(" à ",AG9)-1)+0, '02_DONNEES-EXIGENCES'!$G$53:$P$53, 0))*AH9*B9,"")</f>
        <v>129.30206896551726</v>
      </c>
      <c r="AK9" s="47">
        <f t="shared" ref="AK9:AK15" si="3">IFERROR(AJ9-AI9,"")</f>
        <v>37.539310344827612</v>
      </c>
      <c r="AL9" s="77" t="s">
        <v>141</v>
      </c>
      <c r="AM9" s="6" t="s">
        <v>142</v>
      </c>
      <c r="AN9" s="40">
        <f>IF(AND(AL9="OUI",AM9="Induction"),_xlfn.XLOOKUP(A9,'02_DONNEES-EXIGENCES'!$O$4:$O$8,'02_DONNEES-EXIGENCES'!$U$4:$U$8)*B9,"")</f>
        <v>44.827586206896555</v>
      </c>
      <c r="AO9" s="49" t="str">
        <f>IFERROR(_xlfn.XLOOKUP(A9,'02_DONNEES-EXIGENCES'!$B$4:$B$10,'02_DONNEES-EXIGENCES'!$K$4:$K$10),"")</f>
        <v>A++</v>
      </c>
      <c r="AP9" s="3" t="s">
        <v>83</v>
      </c>
      <c r="AQ9" s="22" t="str">
        <f>IFERROR(_xlfn.XLOOKUP(A9,'02_DONNEES-EXIGENCES'!$B$4:$B$10,'02_DONNEES-EXIGENCES'!$J$4:$J$10),"")</f>
        <v>40 à 50L</v>
      </c>
      <c r="AR9" s="24">
        <f>_xlfn.XLOOKUP(A9,'02_DONNEES-EXIGENCES'!$O$4:$O$8,'02_DONNEES-EXIGENCES'!$S$4:$S$8)</f>
        <v>42.988505747126439</v>
      </c>
      <c r="AS9" s="24">
        <f>IFERROR(INDEX('02_DONNEES-EXIGENCES'!$F$80:$O$85, MATCH(AP9, '02_DONNEES-EXIGENCES'!$E$80:$E$85, 0), MATCH(LEFT(AQ9,FIND(" à ",AQ9)-1)+0, '02_DONNEES-EXIGENCES'!$F$78:$O$78, 0))*AR9*B9,"")</f>
        <v>57.410289655172413</v>
      </c>
      <c r="AT9" s="24">
        <f>IFERROR(INDEX('02_DONNEES-EXIGENCES'!$F$80:$O$85, MATCH(_xlfn.XLOOKUP(AO9,'02_DONNEES-EXIGENCES'!$Z$4:$Z$10,'02_DONNEES-EXIGENCES'!$AB$4:$AB$10), '02_DONNEES-EXIGENCES'!$E$80:$E$85, 0), MATCH(LEFT(AQ9,FIND(" à ",AQ9)-1)+0, '02_DONNEES-EXIGENCES'!$F$78:$O$78, 0))*AR9*B9,"")</f>
        <v>99.079048275862078</v>
      </c>
      <c r="AU9" s="40">
        <f t="shared" ref="AU9:AU15" si="4">IFERROR(IF(A9="","",AT9-AS9),"")</f>
        <v>41.668758620689665</v>
      </c>
      <c r="AW9" s="93"/>
    </row>
    <row r="10" spans="1:49" x14ac:dyDescent="0.3">
      <c r="A10" s="39" t="s">
        <v>25</v>
      </c>
      <c r="B10" s="3">
        <v>5</v>
      </c>
      <c r="C10" s="6">
        <v>36</v>
      </c>
      <c r="D10" s="94">
        <f t="shared" ref="D10:D15" si="5">IF(A10="","",C10*B10)</f>
        <v>180</v>
      </c>
      <c r="E10" s="94">
        <f t="shared" si="0"/>
        <v>1126.7750131551725</v>
      </c>
      <c r="F10" s="108">
        <f>E10/D10</f>
        <v>6.2598611841954028</v>
      </c>
      <c r="G10" s="96">
        <f t="shared" ref="G10:G13" si="6">F10*2.3</f>
        <v>14.397680723649426</v>
      </c>
      <c r="H10" s="39" t="s">
        <v>11</v>
      </c>
      <c r="I10" s="59" t="s">
        <v>221</v>
      </c>
      <c r="J10" s="40">
        <f>IFERROR(IF(H10="Oui",IF(OR(I10="Salle de bain",I10="Buanderie ventilée"),_xlfn.XLOOKUP(A10,'02_DONNEES-EXIGENCES'!$O$4:$O$8,'02_DONNEES-EXIGENCES'!$T$4:$T$8)*B10*0.4,_xlfn.XLOOKUP(A10,'02_DONNEES-EXIGENCES'!$O$4:$O$8,'02_DONNEES-EXIGENCES'!$T$4:$T$8)*B10),""),"")</f>
        <v>149.79310344827584</v>
      </c>
      <c r="K10" s="39" t="s">
        <v>11</v>
      </c>
      <c r="L10" s="40">
        <f>IF(K10="Oui",_xlfn.XLOOKUP(A10,'02_DONNEES-EXIGENCES'!$O$4:$O$8,'02_DONNEES-EXIGENCES'!$V$4:$V$8)*B10,"")</f>
        <v>182.5</v>
      </c>
      <c r="M10" s="51" t="str">
        <f>IFERROR(_xlfn.XLOOKUP(A10,'02_DONNEES-EXIGENCES'!$B$4:$B$10,'02_DONNEES-EXIGENCES'!$G$4:$G$10),"")</f>
        <v>A</v>
      </c>
      <c r="N10" s="3" t="s">
        <v>12</v>
      </c>
      <c r="O10" s="3" t="s">
        <v>11</v>
      </c>
      <c r="P10" s="3" t="s">
        <v>152</v>
      </c>
      <c r="Q10" s="3">
        <v>50</v>
      </c>
      <c r="R10" s="22" t="str">
        <f>IFERROR(_xlfn.XLOOKUP(A10,'02_DONNEES-EXIGENCES'!$B$4:$B$10,'02_DONNEES-EXIGENCES'!$F$4:$F$10),"")</f>
        <v>6 à 7kg</v>
      </c>
      <c r="S10" s="24">
        <f>_xlfn.XLOOKUP(A10,'02_DONNEES-EXIGENCES'!$O$4:$O$8,'02_DONNEES-EXIGENCES'!$Q$4:$Q$8)</f>
        <v>91.034482758620697</v>
      </c>
      <c r="T10" s="23">
        <f>IFERROR(INDEX('02_DONNEES-EXIGENCES'!$G$18:$L$23, MATCH(N10, '02_DONNEES-EXIGENCES'!$F$18:$F$23, 0), MATCH(_xlfn.NUMBERVALUE(LEFT(R10,1)), '02_DONNEES-EXIGENCES'!$G$16:$L$16, 0))*S10*B10,"")</f>
        <v>191.62394482758626</v>
      </c>
      <c r="U10" s="23">
        <f>IFERROR(IF(O10="Oui",INDEX('02_DONNEES-EXIGENCES'!$G$18:$L$23, MATCH(N10, '02_DONNEES-EXIGENCES'!$F$18:$F$23, 0), MATCH(_xlfn.NUMBERVALUE(LEFT(R10,1)), '02_DONNEES-EXIGENCES'!$G$16:$L$16, 0))*S10*0.54*B10,""),"")</f>
        <v>103.47693020689658</v>
      </c>
      <c r="V10" s="23">
        <f>IFERROR(IF(O10="Oui",IF(P10="100% Bois",0,((T10*0.46+'02_DONNEES-EXIGENCES'!$Q$26)/(_xlfn.XLOOKUP(P10,'02_DONNEES-EXIGENCES'!$O$18:$O$23,'02_DONNEES-EXIGENCES'!$P$18:$P$23)+(Q10/100)))*B10),""),"Entrez un équipement")</f>
        <v>293.95419456896559</v>
      </c>
      <c r="W10" s="23">
        <f>IFERROR(INDEX('02_DONNEES-EXIGENCES'!$G$18:$L$23, MATCH(_xlfn.XLOOKUP(M10,'02_DONNEES-EXIGENCES'!$Z$4:$Z$10,'02_DONNEES-EXIGENCES'!$AA$4:$AA$10), '02_DONNEES-EXIGENCES'!$F$18:$F$23, 0), MATCH(_xlfn.NUMBERVALUE(LEFT(R10,1)), '02_DONNEES-EXIGENCES'!$G$16:$L$16, 0))*S10*B10,"")</f>
        <v>294.80606896551728</v>
      </c>
      <c r="X10" s="57">
        <f t="shared" si="1"/>
        <v>-102.62505581034486</v>
      </c>
      <c r="Y10" s="51" t="str">
        <f>IFERROR(_xlfn.XLOOKUP(A10,'02_DONNEES-EXIGENCES'!$B$4:$B$10,'02_DONNEES-EXIGENCES'!$E$4:$E$10),"")</f>
        <v>D</v>
      </c>
      <c r="Z10" s="3" t="s">
        <v>46</v>
      </c>
      <c r="AA10" s="22" t="str">
        <f>IFERROR(_xlfn.XLOOKUP(A10,'02_DONNEES-EXIGENCES'!$B$4:$B$10,'02_DONNEES-EXIGENCES'!$D$4:$D$10),"")</f>
        <v>100 à 150L</v>
      </c>
      <c r="AB10" s="23">
        <f>IFERROR(INDEX('02_DONNEES-EXIGENCES'!$G$40:$O$45, MATCH(Z10,'02_DONNEES-EXIGENCES'!$F$40:$F$45, 0), MATCH(LEFT(AA10,FIND(" à ",AA10)-1)+0, '02_DONNEES-EXIGENCES'!$G$38:$P$38, 0))*B10,"")</f>
        <v>600</v>
      </c>
      <c r="AC10" s="23">
        <f>IFERROR(INDEX('02_DONNEES-EXIGENCES'!$G$40:$O$46, MATCH(_xlfn.XLOOKUP(Y10,'02_DONNEES-EXIGENCES'!$Z$4:$Z$10,'02_DONNEES-EXIGENCES'!$AA$4:$AA$10), '02_DONNEES-EXIGENCES'!$F$40:$F$46, 0), MATCH(LEFT(AA10,FIND(" à ",AA10)-1)+0, '02_DONNEES-EXIGENCES'!$G$38:$O$38, 0))*B10,"")</f>
        <v>1125</v>
      </c>
      <c r="AD10" s="57">
        <f t="shared" si="2"/>
        <v>525</v>
      </c>
      <c r="AE10" s="49" t="str">
        <f>IFERROR(_xlfn.XLOOKUP(A10,'02_DONNEES-EXIGENCES'!$B$4:$B$10,'02_DONNEES-EXIGENCES'!$I$4:$I$10),"")</f>
        <v>C</v>
      </c>
      <c r="AF10" s="3" t="s">
        <v>23</v>
      </c>
      <c r="AG10" s="22" t="str">
        <f>IFERROR(_xlfn.XLOOKUP(A10,'02_DONNEES-EXIGENCES'!$B$4:$B$10,'02_DONNEES-EXIGENCES'!$H$4:$H$10),"")</f>
        <v>7 à 10 couv.</v>
      </c>
      <c r="AH10" s="24">
        <f>_xlfn.XLOOKUP(A10,'02_DONNEES-EXIGENCES'!$O$4:$O$8,'02_DONNEES-EXIGENCES'!$R$4:$R$8)</f>
        <v>115.86206896551724</v>
      </c>
      <c r="AI10" s="24">
        <f>IFERROR(INDEX('02_DONNEES-EXIGENCES'!$G$55:$P$60, MATCH(AF10, '02_DONNEES-EXIGENCES'!$F$55:$F$60, 0), MATCH(LEFT(AG10,FIND(" à ",AG10)-1)+0, '02_DONNEES-EXIGENCES'!$G$53:$P$53, 0))*AH10*B10,"")</f>
        <v>275.28827586206899</v>
      </c>
      <c r="AJ10" s="24">
        <f>IFERROR(INDEX('02_DONNEES-EXIGENCES'!$G$55:$P$60, MATCH(_xlfn.XLOOKUP(AE10,'02_DONNEES-EXIGENCES'!$Z$4:$Z$10,'02_DONNEES-EXIGENCES'!$AA$4:$AA$10), '02_DONNEES-EXIGENCES'!$F$55:$F$60, 0), MATCH(LEFT(AG10,FIND(" à ",AG10)-1)+0, '02_DONNEES-EXIGENCES'!$G$53:$P$53, 0))*AH10*B10,"")</f>
        <v>387.90620689655179</v>
      </c>
      <c r="AK10" s="47">
        <f t="shared" si="3"/>
        <v>112.61793103448281</v>
      </c>
      <c r="AL10" s="77" t="s">
        <v>141</v>
      </c>
      <c r="AM10" s="6" t="s">
        <v>142</v>
      </c>
      <c r="AN10" s="40">
        <f>IF(AND(AL10="OUI",AM10="Induction"),_xlfn.XLOOKUP(A10,'02_DONNEES-EXIGENCES'!$O$4:$O$8,'02_DONNEES-EXIGENCES'!$U$4:$U$8)*B10,"")</f>
        <v>134.48275862068965</v>
      </c>
      <c r="AO10" s="49" t="str">
        <f>IFERROR(_xlfn.XLOOKUP(A10,'02_DONNEES-EXIGENCES'!$B$4:$B$10,'02_DONNEES-EXIGENCES'!$K$4:$K$10),"")</f>
        <v>A++</v>
      </c>
      <c r="AP10" s="3" t="s">
        <v>83</v>
      </c>
      <c r="AQ10" s="22" t="str">
        <f>IFERROR(_xlfn.XLOOKUP(A10,'02_DONNEES-EXIGENCES'!$B$4:$B$10,'02_DONNEES-EXIGENCES'!$J$4:$J$10),"")</f>
        <v>40 à 50L</v>
      </c>
      <c r="AR10" s="24">
        <f>_xlfn.XLOOKUP(A10,'02_DONNEES-EXIGENCES'!$O$4:$O$8,'02_DONNEES-EXIGENCES'!$S$4:$S$8)</f>
        <v>77.379310344827587</v>
      </c>
      <c r="AS10" s="24">
        <f>IFERROR(INDEX('02_DONNEES-EXIGENCES'!$F$80:$O$85, MATCH(AP10, '02_DONNEES-EXIGENCES'!$E$80:$E$85, 0), MATCH(LEFT(AQ10,FIND(" à ",AQ10)-1)+0, '02_DONNEES-EXIGENCES'!$F$78:$O$78, 0))*AR10*B10,"")</f>
        <v>172.23086896551723</v>
      </c>
      <c r="AT10" s="24">
        <f>IFERROR(INDEX('02_DONNEES-EXIGENCES'!$F$80:$O$85, MATCH(_xlfn.XLOOKUP(AO10,'02_DONNEES-EXIGENCES'!$Z$4:$Z$10,'02_DONNEES-EXIGENCES'!$AB$4:$AB$10), '02_DONNEES-EXIGENCES'!$E$80:$E$85, 0), MATCH(LEFT(AQ10,FIND(" à ",AQ10)-1)+0, '02_DONNEES-EXIGENCES'!$F$78:$O$78, 0))*AR10*B10,"")</f>
        <v>297.23714482758623</v>
      </c>
      <c r="AU10" s="40">
        <f t="shared" si="4"/>
        <v>125.006275862069</v>
      </c>
      <c r="AW10" s="93"/>
    </row>
    <row r="11" spans="1:49" x14ac:dyDescent="0.3">
      <c r="A11" s="39" t="s">
        <v>10</v>
      </c>
      <c r="B11" s="3">
        <v>4</v>
      </c>
      <c r="C11" s="6">
        <v>60</v>
      </c>
      <c r="D11" s="94">
        <f t="shared" si="5"/>
        <v>240</v>
      </c>
      <c r="E11" s="94">
        <f t="shared" si="0"/>
        <v>1576.0767470344829</v>
      </c>
      <c r="F11" s="108">
        <f>E11/D11</f>
        <v>6.5669864459770118</v>
      </c>
      <c r="G11" s="96">
        <f t="shared" si="6"/>
        <v>15.104068825747126</v>
      </c>
      <c r="H11" s="39" t="s">
        <v>11</v>
      </c>
      <c r="I11" s="59" t="s">
        <v>216</v>
      </c>
      <c r="J11" s="40">
        <f>IFERROR(IF(H11="Oui",IF(OR(I11="Salle de bain",I11="Buanderie ventilée"),_xlfn.XLOOKUP(A11,'02_DONNEES-EXIGENCES'!$O$4:$O$8,'02_DONNEES-EXIGENCES'!$T$4:$T$8)*B11*0.4,_xlfn.XLOOKUP(A11,'02_DONNEES-EXIGENCES'!$O$4:$O$8,'02_DONNEES-EXIGENCES'!$T$4:$T$8)*B11),""),"")</f>
        <v>199.72413793103448</v>
      </c>
      <c r="K11" s="39" t="s">
        <v>11</v>
      </c>
      <c r="L11" s="40">
        <f>IF(K11="Oui",_xlfn.XLOOKUP(A11,'02_DONNEES-EXIGENCES'!$O$4:$O$8,'02_DONNEES-EXIGENCES'!$V$4:$V$8)*B11,"")</f>
        <v>146</v>
      </c>
      <c r="M11" s="51" t="str">
        <f>IFERROR(_xlfn.XLOOKUP(A11,'02_DONNEES-EXIGENCES'!$B$4:$B$10,'02_DONNEES-EXIGENCES'!$G$4:$G$10),"")</f>
        <v>A</v>
      </c>
      <c r="N11" s="3" t="s">
        <v>12</v>
      </c>
      <c r="O11" s="3" t="s">
        <v>11</v>
      </c>
      <c r="P11" s="3" t="s">
        <v>214</v>
      </c>
      <c r="Q11" s="3"/>
      <c r="R11" s="22" t="str">
        <f>IFERROR(_xlfn.XLOOKUP(A11,'02_DONNEES-EXIGENCES'!$B$4:$B$10,'02_DONNEES-EXIGENCES'!$F$4:$F$10),"")</f>
        <v>7 à 8kg</v>
      </c>
      <c r="S11" s="24">
        <f>_xlfn.XLOOKUP(A11,'02_DONNEES-EXIGENCES'!$O$4:$O$8,'02_DONNEES-EXIGENCES'!$Q$4:$Q$8)</f>
        <v>151.72413793103448</v>
      </c>
      <c r="T11" s="23">
        <f>IFERROR(INDEX('02_DONNEES-EXIGENCES'!$G$18:$L$23, MATCH(N11, '02_DONNEES-EXIGENCES'!$F$18:$F$23, 0), MATCH(_xlfn.NUMBERVALUE(LEFT(R11,1)), '02_DONNEES-EXIGENCES'!$G$16:$L$16, 0))*S11*B11,"")</f>
        <v>271.94063448275858</v>
      </c>
      <c r="U11" s="23">
        <f>IFERROR(IF(O11="Oui",INDEX('02_DONNEES-EXIGENCES'!$G$18:$L$23, MATCH(N11, '02_DONNEES-EXIGENCES'!$F$18:$F$23, 0), MATCH(_xlfn.NUMBERVALUE(LEFT(R11,1)), '02_DONNEES-EXIGENCES'!$G$16:$L$16, 0))*S11*0.54*B11,""),"")</f>
        <v>146.84794262068965</v>
      </c>
      <c r="V11" s="23">
        <f>IFERROR(IF(O11="Oui",IF(P11="100% Bois",0,((T11*0.46+'02_DONNEES-EXIGENCES'!$Q$26)/(_xlfn.XLOOKUP(P11,'02_DONNEES-EXIGENCES'!$O$18:$O$23,'02_DONNEES-EXIGENCES'!$P$18:$P$23)+(Q11/100)))*B11),""),"Entrez un équipement")</f>
        <v>0</v>
      </c>
      <c r="W11" s="23">
        <f>IFERROR(INDEX('02_DONNEES-EXIGENCES'!$G$18:$L$23, MATCH(_xlfn.XLOOKUP(M11,'02_DONNEES-EXIGENCES'!$Z$4:$Z$10,'02_DONNEES-EXIGENCES'!$AA$4:$AA$10), '02_DONNEES-EXIGENCES'!$F$18:$F$23, 0), MATCH(_xlfn.NUMBERVALUE(LEFT(R11,1)), '02_DONNEES-EXIGENCES'!$G$16:$L$16, 0))*S11*B11,"")</f>
        <v>418.37020689655168</v>
      </c>
      <c r="X11" s="57">
        <f t="shared" si="1"/>
        <v>271.52226427586203</v>
      </c>
      <c r="Y11" s="51" t="str">
        <f>IFERROR(_xlfn.XLOOKUP(A11,'02_DONNEES-EXIGENCES'!$B$4:$B$10,'02_DONNEES-EXIGENCES'!$E$4:$E$10),"")</f>
        <v>C</v>
      </c>
      <c r="Z11" s="3" t="s">
        <v>23</v>
      </c>
      <c r="AA11" s="22" t="str">
        <f>IFERROR(_xlfn.XLOOKUP(A11,'02_DONNEES-EXIGENCES'!$B$4:$B$10,'02_DONNEES-EXIGENCES'!$D$4:$D$10),"")</f>
        <v>150 à 250L</v>
      </c>
      <c r="AB11" s="23">
        <f>IFERROR(INDEX('02_DONNEES-EXIGENCES'!$G$40:$O$45, MATCH(Z11,'02_DONNEES-EXIGENCES'!$F$40:$F$45, 0), MATCH(LEFT(AA11,FIND(" à ",AA11)-1)+0, '02_DONNEES-EXIGENCES'!$G$38:$P$38, 0))*B11,"")</f>
        <v>399.36</v>
      </c>
      <c r="AC11" s="23">
        <f>IFERROR(INDEX('02_DONNEES-EXIGENCES'!$G$40:$O$46, MATCH(_xlfn.XLOOKUP(Y11,'02_DONNEES-EXIGENCES'!$Z$4:$Z$10,'02_DONNEES-EXIGENCES'!$AA$4:$AA$10), '02_DONNEES-EXIGENCES'!$F$40:$F$46, 0), MATCH(LEFT(AA11,FIND(" à ",AA11)-1)+0, '02_DONNEES-EXIGENCES'!$G$38:$O$38, 0))*B11,"")</f>
        <v>780</v>
      </c>
      <c r="AD11" s="57">
        <f t="shared" si="2"/>
        <v>380.64</v>
      </c>
      <c r="AE11" s="49" t="str">
        <f>IFERROR(_xlfn.XLOOKUP(A11,'02_DONNEES-EXIGENCES'!$B$4:$B$10,'02_DONNEES-EXIGENCES'!$I$4:$I$10),"")</f>
        <v>B</v>
      </c>
      <c r="AF11" s="3" t="s">
        <v>30</v>
      </c>
      <c r="AG11" s="22" t="str">
        <f>IFERROR(_xlfn.XLOOKUP(A11,'02_DONNEES-EXIGENCES'!$B$4:$B$10,'02_DONNEES-EXIGENCES'!$H$4:$H$10),"")</f>
        <v>10 à 12 couv.</v>
      </c>
      <c r="AH11" s="24">
        <f>_xlfn.XLOOKUP(A11,'02_DONNEES-EXIGENCES'!$O$4:$O$8,'02_DONNEES-EXIGENCES'!$R$4:$R$8)</f>
        <v>193.10344827586206</v>
      </c>
      <c r="AI11" s="24">
        <f>IFERROR(INDEX('02_DONNEES-EXIGENCES'!$G$55:$P$60, MATCH(AF11, '02_DONNEES-EXIGENCES'!$F$55:$F$60, 0), MATCH(LEFT(AG11,FIND(" à ",AG11)-1)+0, '02_DONNEES-EXIGENCES'!$G$53:$P$53, 0))*AH11*B11,"")</f>
        <v>469.62758620689664</v>
      </c>
      <c r="AJ11" s="24">
        <f>IFERROR(INDEX('02_DONNEES-EXIGENCES'!$G$55:$P$60, MATCH(_xlfn.XLOOKUP(AE11,'02_DONNEES-EXIGENCES'!$Z$4:$Z$10,'02_DONNEES-EXIGENCES'!$AA$4:$AA$10), '02_DONNEES-EXIGENCES'!$F$55:$F$60, 0), MATCH(LEFT(AG11,FIND(" à ",AG11)-1)+0, '02_DONNEES-EXIGENCES'!$G$53:$P$53, 0))*AH11*B11,"")</f>
        <v>692.08275862068979</v>
      </c>
      <c r="AK11" s="47">
        <f t="shared" si="3"/>
        <v>222.45517241379315</v>
      </c>
      <c r="AL11" s="77" t="s">
        <v>141</v>
      </c>
      <c r="AM11" s="6" t="s">
        <v>142</v>
      </c>
      <c r="AN11" s="40">
        <f>IF(AND(AL11="OUI",AM11="Induction"),_xlfn.XLOOKUP(A11,'02_DONNEES-EXIGENCES'!$O$4:$O$8,'02_DONNEES-EXIGENCES'!$U$4:$U$8)*B11,"")</f>
        <v>179.31034482758619</v>
      </c>
      <c r="AO11" s="49" t="str">
        <f>IFERROR(_xlfn.XLOOKUP(A11,'02_DONNEES-EXIGENCES'!$B$4:$B$10,'02_DONNEES-EXIGENCES'!$K$4:$K$10),"")</f>
        <v>A++</v>
      </c>
      <c r="AP11" s="3" t="s">
        <v>83</v>
      </c>
      <c r="AQ11" s="22" t="str">
        <f>IFERROR(_xlfn.XLOOKUP(A11,'02_DONNEES-EXIGENCES'!$B$4:$B$10,'02_DONNEES-EXIGENCES'!$J$4:$J$10),"")</f>
        <v>50 à 70L</v>
      </c>
      <c r="AR11" s="24">
        <f>_xlfn.XLOOKUP(A11,'02_DONNEES-EXIGENCES'!$O$4:$O$8,'02_DONNEES-EXIGENCES'!$S$4:$S$8)</f>
        <v>128.9655172413793</v>
      </c>
      <c r="AS11" s="24">
        <f>IFERROR(INDEX('02_DONNEES-EXIGENCES'!$F$80:$O$85, MATCH(AP11, '02_DONNEES-EXIGENCES'!$E$80:$E$85, 0), MATCH(LEFT(AQ11,FIND(" à ",AQ11)-1)+0, '02_DONNEES-EXIGENCES'!$F$78:$O$78, 0))*AR11*B11,"")</f>
        <v>243.07420689655171</v>
      </c>
      <c r="AT11" s="24">
        <f>IFERROR(INDEX('02_DONNEES-EXIGENCES'!$F$80:$O$85, MATCH(_xlfn.XLOOKUP(AO11,'02_DONNEES-EXIGENCES'!$Z$4:$Z$10,'02_DONNEES-EXIGENCES'!$AB$4:$AB$10), '02_DONNEES-EXIGENCES'!$E$80:$E$85, 0), MATCH(LEFT(AQ11,FIND(" à ",AQ11)-1)+0, '02_DONNEES-EXIGENCES'!$F$78:$O$78, 0))*AR11*B11,"")</f>
        <v>419.49903448275859</v>
      </c>
      <c r="AU11" s="40">
        <f t="shared" si="4"/>
        <v>176.42482758620687</v>
      </c>
      <c r="AW11" s="93"/>
    </row>
    <row r="12" spans="1:49" x14ac:dyDescent="0.3">
      <c r="A12" s="39" t="s">
        <v>31</v>
      </c>
      <c r="B12" s="3">
        <v>1</v>
      </c>
      <c r="C12" s="55">
        <v>75</v>
      </c>
      <c r="D12" s="94">
        <f t="shared" si="5"/>
        <v>75</v>
      </c>
      <c r="E12" s="94">
        <f t="shared" si="0"/>
        <v>521.4582068965517</v>
      </c>
      <c r="F12" s="108">
        <f>E12/D12</f>
        <v>6.9527760919540222</v>
      </c>
      <c r="G12" s="96">
        <f t="shared" si="6"/>
        <v>15.99138501149425</v>
      </c>
      <c r="H12" s="39" t="s">
        <v>11</v>
      </c>
      <c r="I12" s="59" t="s">
        <v>186</v>
      </c>
      <c r="J12" s="40">
        <f>IFERROR(IF(H12="Oui",IF(OR(I12="Salle de bain",I12="Buanderie ventilée"),_xlfn.XLOOKUP(A12,'02_DONNEES-EXIGENCES'!$O$4:$O$8,'02_DONNEES-EXIGENCES'!$T$4:$T$8)*B12*0.4,_xlfn.XLOOKUP(A12,'02_DONNEES-EXIGENCES'!$O$4:$O$8,'02_DONNEES-EXIGENCES'!$T$4:$T$8)*B12),""),"")</f>
        <v>156.03448275862067</v>
      </c>
      <c r="K12" s="39" t="s">
        <v>11</v>
      </c>
      <c r="L12" s="40">
        <f>IF(K12="Oui",_xlfn.XLOOKUP(A12,'02_DONNEES-EXIGENCES'!$O$4:$O$8,'02_DONNEES-EXIGENCES'!$V$4:$V$8)*B12,"")</f>
        <v>36.5</v>
      </c>
      <c r="M12" s="51" t="str">
        <f>IFERROR(_xlfn.XLOOKUP(A12,'02_DONNEES-EXIGENCES'!$B$4:$B$10,'02_DONNEES-EXIGENCES'!$G$4:$G$10),"")</f>
        <v>A</v>
      </c>
      <c r="N12" s="3" t="s">
        <v>12</v>
      </c>
      <c r="O12" s="3" t="s">
        <v>125</v>
      </c>
      <c r="P12" s="3" t="s">
        <v>213</v>
      </c>
      <c r="Q12" s="3"/>
      <c r="R12" s="22" t="str">
        <f>IFERROR(_xlfn.XLOOKUP(A12,'02_DONNEES-EXIGENCES'!$B$4:$B$10,'02_DONNEES-EXIGENCES'!$F$4:$F$10),"")</f>
        <v>7 à 9kg</v>
      </c>
      <c r="S12" s="24">
        <f>_xlfn.XLOOKUP(A12,'02_DONNEES-EXIGENCES'!$O$4:$O$8,'02_DONNEES-EXIGENCES'!$Q$4:$Q$8)</f>
        <v>189.65517241379311</v>
      </c>
      <c r="T12" s="23">
        <f>IFERROR(INDEX('02_DONNEES-EXIGENCES'!$G$18:$L$23, MATCH(N12, '02_DONNEES-EXIGENCES'!$F$18:$F$23, 0), MATCH(_xlfn.NUMBERVALUE(LEFT(R12,1)), '02_DONNEES-EXIGENCES'!$G$16:$L$16, 0))*S12*B12,"")</f>
        <v>84.981448275862064</v>
      </c>
      <c r="U12" s="23" t="str">
        <f>IFERROR(IF(O12="Oui",INDEX('02_DONNEES-EXIGENCES'!$G$18:$L$23, MATCH(N12, '02_DONNEES-EXIGENCES'!$F$18:$F$23, 0), MATCH(_xlfn.NUMBERVALUE(LEFT(R12,1)), '02_DONNEES-EXIGENCES'!$G$16:$L$16, 0))*S12*0.54*B12,""),"")</f>
        <v/>
      </c>
      <c r="V12" s="23" t="str">
        <f>IFERROR(IF(O12="Oui",IF(P12="100% Bois",0,((T12*0.46+'02_DONNEES-EXIGENCES'!$Q$26)/(_xlfn.XLOOKUP(P12,'02_DONNEES-EXIGENCES'!$O$18:$O$23,'02_DONNEES-EXIGENCES'!$P$18:$P$23)+(Q12/100)))*B12),""),"Entrez un équipement")</f>
        <v/>
      </c>
      <c r="W12" s="23">
        <f>IFERROR(INDEX('02_DONNEES-EXIGENCES'!$G$18:$L$23, MATCH(_xlfn.XLOOKUP(M12,'02_DONNEES-EXIGENCES'!$Z$4:$Z$10,'02_DONNEES-EXIGENCES'!$AA$4:$AA$10), '02_DONNEES-EXIGENCES'!$F$18:$F$23, 0), MATCH(_xlfn.NUMBERVALUE(LEFT(R12,1)), '02_DONNEES-EXIGENCES'!$G$16:$L$16, 0))*S12*B12,"")</f>
        <v>130.74068965517242</v>
      </c>
      <c r="X12" s="57">
        <f t="shared" si="1"/>
        <v>45.759241379310353</v>
      </c>
      <c r="Y12" s="51" t="str">
        <f>IFERROR(_xlfn.XLOOKUP(A12,'02_DONNEES-EXIGENCES'!$B$4:$B$10,'02_DONNEES-EXIGENCES'!$E$4:$E$10),"")</f>
        <v>C</v>
      </c>
      <c r="Z12" s="3" t="s">
        <v>23</v>
      </c>
      <c r="AA12" s="22" t="str">
        <f>IFERROR(_xlfn.XLOOKUP(A12,'02_DONNEES-EXIGENCES'!$B$4:$B$10,'02_DONNEES-EXIGENCES'!$D$4:$D$10),"")</f>
        <v>250 à 350L</v>
      </c>
      <c r="AB12" s="23">
        <f>IFERROR(INDEX('02_DONNEES-EXIGENCES'!$G$40:$O$45, MATCH(Z12,'02_DONNEES-EXIGENCES'!$F$40:$F$45, 0), MATCH(LEFT(AA12,FIND(" à ",AA12)-1)+0, '02_DONNEES-EXIGENCES'!$G$38:$P$38, 0))*B12,"")</f>
        <v>107.52</v>
      </c>
      <c r="AC12" s="23">
        <f>IFERROR(INDEX('02_DONNEES-EXIGENCES'!$G$40:$O$46, MATCH(_xlfn.XLOOKUP(Y12,'02_DONNEES-EXIGENCES'!$Z$4:$Z$10,'02_DONNEES-EXIGENCES'!$AA$4:$AA$10), '02_DONNEES-EXIGENCES'!$F$40:$F$46, 0), MATCH(LEFT(AA12,FIND(" à ",AA12)-1)+0, '02_DONNEES-EXIGENCES'!$G$38:$O$38, 0))*B12,"")</f>
        <v>210</v>
      </c>
      <c r="AD12" s="57">
        <f t="shared" si="2"/>
        <v>102.48</v>
      </c>
      <c r="AE12" s="49" t="str">
        <f>IFERROR(_xlfn.XLOOKUP(A12,'02_DONNEES-EXIGENCES'!$B$4:$B$10,'02_DONNEES-EXIGENCES'!$I$4:$I$10),"")</f>
        <v>B</v>
      </c>
      <c r="AF12" s="3" t="s">
        <v>30</v>
      </c>
      <c r="AG12" s="22" t="str">
        <f>IFERROR(_xlfn.XLOOKUP(A12,'02_DONNEES-EXIGENCES'!$B$4:$B$10,'02_DONNEES-EXIGENCES'!$H$4:$H$10),"")</f>
        <v>10 à 12 couv.</v>
      </c>
      <c r="AH12" s="24">
        <f>_xlfn.XLOOKUP(A12,'02_DONNEES-EXIGENCES'!$O$4:$O$8,'02_DONNEES-EXIGENCES'!$R$4:$R$8)</f>
        <v>241.37931034482759</v>
      </c>
      <c r="AI12" s="24">
        <f>IFERROR(INDEX('02_DONNEES-EXIGENCES'!$G$55:$P$60, MATCH(AF12, '02_DONNEES-EXIGENCES'!$F$55:$F$60, 0), MATCH(LEFT(AG12,FIND(" à ",AG12)-1)+0, '02_DONNEES-EXIGENCES'!$G$53:$P$53, 0))*AH12*B12,"")</f>
        <v>146.7586206896552</v>
      </c>
      <c r="AJ12" s="24">
        <f>IFERROR(INDEX('02_DONNEES-EXIGENCES'!$G$55:$P$60, MATCH(_xlfn.XLOOKUP(AE12,'02_DONNEES-EXIGENCES'!$Z$4:$Z$10,'02_DONNEES-EXIGENCES'!$AA$4:$AA$10), '02_DONNEES-EXIGENCES'!$F$55:$F$60, 0), MATCH(LEFT(AG12,FIND(" à ",AG12)-1)+0, '02_DONNEES-EXIGENCES'!$G$53:$P$53, 0))*AH12*B12,"")</f>
        <v>216.27586206896555</v>
      </c>
      <c r="AK12" s="47">
        <f t="shared" si="3"/>
        <v>69.517241379310349</v>
      </c>
      <c r="AL12" s="77" t="s">
        <v>141</v>
      </c>
      <c r="AM12" s="6" t="s">
        <v>142</v>
      </c>
      <c r="AN12" s="40">
        <f>IF(AND(AL12="OUI",AM12="Induction"),_xlfn.XLOOKUP(A12,'02_DONNEES-EXIGENCES'!$O$4:$O$8,'02_DONNEES-EXIGENCES'!$U$4:$U$8)*B12,"")</f>
        <v>56.03448275862069</v>
      </c>
      <c r="AO12" s="49" t="str">
        <f>IFERROR(_xlfn.XLOOKUP(A12,'02_DONNEES-EXIGENCES'!$B$4:$B$10,'02_DONNEES-EXIGENCES'!$K$4:$K$10),"")</f>
        <v>A++</v>
      </c>
      <c r="AP12" s="3" t="s">
        <v>83</v>
      </c>
      <c r="AQ12" s="22" t="str">
        <f>IFERROR(_xlfn.XLOOKUP(A12,'02_DONNEES-EXIGENCES'!$B$4:$B$10,'02_DONNEES-EXIGENCES'!$J$4:$J$10),"")</f>
        <v>50 à 70L</v>
      </c>
      <c r="AR12" s="24">
        <f>_xlfn.XLOOKUP(A12,'02_DONNEES-EXIGENCES'!$O$4:$O$8,'02_DONNEES-EXIGENCES'!$S$4:$S$8)</f>
        <v>161.20689655172413</v>
      </c>
      <c r="AS12" s="24">
        <f>IFERROR(INDEX('02_DONNEES-EXIGENCES'!$F$80:$O$85, MATCH(AP12, '02_DONNEES-EXIGENCES'!$E$80:$E$85, 0), MATCH(LEFT(AQ12,FIND(" à ",AQ12)-1)+0, '02_DONNEES-EXIGENCES'!$F$78:$O$78, 0))*AR12*B12,"")</f>
        <v>75.960689655172416</v>
      </c>
      <c r="AT12" s="24">
        <f>IFERROR(INDEX('02_DONNEES-EXIGENCES'!$F$80:$O$85, MATCH(_xlfn.XLOOKUP(AO12,'02_DONNEES-EXIGENCES'!$Z$4:$Z$10,'02_DONNEES-EXIGENCES'!$AB$4:$AB$10), '02_DONNEES-EXIGENCES'!$E$80:$E$85, 0), MATCH(LEFT(AQ12,FIND(" à ",AQ12)-1)+0, '02_DONNEES-EXIGENCES'!$F$78:$O$78, 0))*AR12*B12,"")</f>
        <v>131.09344827586207</v>
      </c>
      <c r="AU12" s="40">
        <f t="shared" si="4"/>
        <v>55.132758620689657</v>
      </c>
      <c r="AW12" s="93"/>
    </row>
    <row r="13" spans="1:49" x14ac:dyDescent="0.3">
      <c r="A13" s="39" t="s">
        <v>13</v>
      </c>
      <c r="B13" s="3">
        <v>1</v>
      </c>
      <c r="C13" s="3">
        <v>87</v>
      </c>
      <c r="D13" s="94">
        <f t="shared" si="5"/>
        <v>87</v>
      </c>
      <c r="E13" s="94">
        <f t="shared" si="0"/>
        <v>609.79472621666673</v>
      </c>
      <c r="F13" s="108">
        <f>E13/D13</f>
        <v>7.0091347840996177</v>
      </c>
      <c r="G13" s="96">
        <f t="shared" si="6"/>
        <v>16.12101000342912</v>
      </c>
      <c r="H13" s="39" t="s">
        <v>11</v>
      </c>
      <c r="I13" s="59" t="s">
        <v>186</v>
      </c>
      <c r="J13" s="40">
        <f>IFERROR(IF(H13="Oui",IF(OR(I13="Salle de bain",I13="Buanderie ventilée"),_xlfn.XLOOKUP(A13,'02_DONNEES-EXIGENCES'!$O$4:$O$8,'02_DONNEES-EXIGENCES'!$T$4:$T$8)*B13*0.4,_xlfn.XLOOKUP(A13,'02_DONNEES-EXIGENCES'!$O$4:$O$8,'02_DONNEES-EXIGENCES'!$T$4:$T$8)*B13),""),"")</f>
        <v>181</v>
      </c>
      <c r="K13" s="39" t="s">
        <v>11</v>
      </c>
      <c r="L13" s="40">
        <f>IF(K13="Oui",_xlfn.XLOOKUP(A13,'02_DONNEES-EXIGENCES'!$O$4:$O$8,'02_DONNEES-EXIGENCES'!$V$4:$V$8)*B13,"")</f>
        <v>36.5</v>
      </c>
      <c r="M13" s="51" t="str">
        <f>IFERROR(_xlfn.XLOOKUP(A13,'02_DONNEES-EXIGENCES'!$B$4:$B$10,'02_DONNEES-EXIGENCES'!$G$4:$G$10),"")</f>
        <v>A</v>
      </c>
      <c r="N13" s="3" t="s">
        <v>12</v>
      </c>
      <c r="O13" s="3" t="s">
        <v>11</v>
      </c>
      <c r="P13" s="3" t="s">
        <v>213</v>
      </c>
      <c r="Q13" s="3"/>
      <c r="R13" s="22" t="str">
        <f>IFERROR(_xlfn.XLOOKUP(A13,'02_DONNEES-EXIGENCES'!$B$4:$B$10,'02_DONNEES-EXIGENCES'!$F$4:$F$10),"")</f>
        <v>8 à 11kg</v>
      </c>
      <c r="S13" s="24">
        <f>_xlfn.XLOOKUP(A13,'02_DONNEES-EXIGENCES'!$O$4:$O$8,'02_DONNEES-EXIGENCES'!$Q$4:$Q$8)</f>
        <v>220</v>
      </c>
      <c r="T13" s="23">
        <f>IFERROR(INDEX('02_DONNEES-EXIGENCES'!$G$18:$L$23, MATCH(N13, '02_DONNEES-EXIGENCES'!$F$18:$F$23, 0), MATCH(_xlfn.NUMBERVALUE(LEFT(R13,1)), '02_DONNEES-EXIGENCES'!$G$16:$L$16, 0))*S13*B13,"")</f>
        <v>103.96672</v>
      </c>
      <c r="U13" s="23">
        <f>IFERROR(IF(O13="Oui",INDEX('02_DONNEES-EXIGENCES'!$G$18:$L$23, MATCH(N13, '02_DONNEES-EXIGENCES'!$F$18:$F$23, 0), MATCH(_xlfn.NUMBERVALUE(LEFT(R13,1)), '02_DONNEES-EXIGENCES'!$G$16:$L$16, 0))*S13*0.54*B13,""),"")</f>
        <v>56.142028799999999</v>
      </c>
      <c r="V13" s="23">
        <f>IFERROR(IF(O13="Oui",IF(P13="100% Bois",0,((T13*0.46+'02_DONNEES-EXIGENCES'!$Q$26)/(_xlfn.XLOOKUP(P13,'02_DONNEES-EXIGENCES'!$O$18:$O$23,'02_DONNEES-EXIGENCES'!$P$18:$P$23)+(Q13/100)))*B13),""),"Entrez un équipement")</f>
        <v>15.954644983333331</v>
      </c>
      <c r="W13" s="23">
        <f>IFERROR(INDEX('02_DONNEES-EXIGENCES'!$G$18:$L$23, MATCH(_xlfn.XLOOKUP(M13,'02_DONNEES-EXIGENCES'!$Z$4:$Z$10,'02_DONNEES-EXIGENCES'!$AA$4:$AA$10), '02_DONNEES-EXIGENCES'!$F$18:$F$23, 0), MATCH(_xlfn.NUMBERVALUE(LEFT(R13,1)), '02_DONNEES-EXIGENCES'!$G$16:$L$16, 0))*S13*B13,"")</f>
        <v>159.94880000000001</v>
      </c>
      <c r="X13" s="57">
        <f t="shared" si="1"/>
        <v>87.852126216666676</v>
      </c>
      <c r="Y13" s="51" t="str">
        <f>IFERROR(_xlfn.XLOOKUP(A13,'02_DONNEES-EXIGENCES'!$B$4:$B$10,'02_DONNEES-EXIGENCES'!$E$4:$E$10),"")</f>
        <v>B</v>
      </c>
      <c r="Z13" s="3" t="s">
        <v>30</v>
      </c>
      <c r="AA13" s="22" t="str">
        <f>IFERROR(_xlfn.XLOOKUP(A13,'02_DONNEES-EXIGENCES'!$B$4:$B$10,'02_DONNEES-EXIGENCES'!$D$4:$D$10),"")</f>
        <v>300 à 400L</v>
      </c>
      <c r="AB13" s="23">
        <f>IFERROR(INDEX('02_DONNEES-EXIGENCES'!$G$40:$O$45, MATCH(Z13,'02_DONNEES-EXIGENCES'!$F$40:$F$45, 0), MATCH(LEFT(AA13,FIND(" à ",AA13)-1)+0, '02_DONNEES-EXIGENCES'!$G$38:$P$38, 0))*B13,"")</f>
        <v>88.74</v>
      </c>
      <c r="AC13" s="23">
        <f>IFERROR(INDEX('02_DONNEES-EXIGENCES'!$G$40:$O$46, MATCH(_xlfn.XLOOKUP(Y13,'02_DONNEES-EXIGENCES'!$Z$4:$Z$10,'02_DONNEES-EXIGENCES'!$AA$4:$AA$10), '02_DONNEES-EXIGENCES'!$F$40:$F$46, 0), MATCH(LEFT(AA13,FIND(" à ",AA13)-1)+0, '02_DONNEES-EXIGENCES'!$G$38:$O$38, 0))*B13,"")</f>
        <v>174</v>
      </c>
      <c r="AD13" s="57">
        <f t="shared" si="2"/>
        <v>85.26</v>
      </c>
      <c r="AE13" s="49" t="str">
        <f>IFERROR(_xlfn.XLOOKUP(A13,'02_DONNEES-EXIGENCES'!$B$4:$B$10,'02_DONNEES-EXIGENCES'!$I$4:$I$10),"")</f>
        <v>A</v>
      </c>
      <c r="AF13" s="3" t="s">
        <v>12</v>
      </c>
      <c r="AG13" s="22" t="str">
        <f>IFERROR(_xlfn.XLOOKUP(A13,'02_DONNEES-EXIGENCES'!$B$4:$B$10,'02_DONNEES-EXIGENCES'!$H$4:$H$10),"")</f>
        <v>12 à 14 couv.</v>
      </c>
      <c r="AH13" s="24">
        <f>_xlfn.XLOOKUP(A13,'02_DONNEES-EXIGENCES'!$O$4:$O$8,'02_DONNEES-EXIGENCES'!$R$4:$R$8)</f>
        <v>280</v>
      </c>
      <c r="AI13" s="24">
        <f>IFERROR(INDEX('02_DONNEES-EXIGENCES'!$G$55:$P$60, MATCH(AF13, '02_DONNEES-EXIGENCES'!$F$55:$F$60, 0), MATCH(LEFT(AG13,FIND(" à ",AG13)-1)+0, '02_DONNEES-EXIGENCES'!$G$53:$P$53, 0))*AH13*B13,"")</f>
        <v>147.84</v>
      </c>
      <c r="AJ13" s="24">
        <f>IFERROR(INDEX('02_DONNEES-EXIGENCES'!$G$55:$P$60, MATCH(_xlfn.XLOOKUP(AE13,'02_DONNEES-EXIGENCES'!$Z$4:$Z$10,'02_DONNEES-EXIGENCES'!$AA$4:$AA$10), '02_DONNEES-EXIGENCES'!$F$55:$F$60, 0), MATCH(LEFT(AG13,FIND(" à ",AG13)-1)+0, '02_DONNEES-EXIGENCES'!$G$53:$P$53, 0))*AH13*B13,"")</f>
        <v>231.00000000000003</v>
      </c>
      <c r="AK13" s="47">
        <f t="shared" si="3"/>
        <v>83.160000000000025</v>
      </c>
      <c r="AL13" s="77" t="s">
        <v>141</v>
      </c>
      <c r="AM13" s="6" t="s">
        <v>142</v>
      </c>
      <c r="AN13" s="40">
        <f>IF(AND(AL13="OUI",AM13="Induction"),_xlfn.XLOOKUP(A13,'02_DONNEES-EXIGENCES'!$O$4:$O$8,'02_DONNEES-EXIGENCES'!$U$4:$U$8)*B13,"")</f>
        <v>65</v>
      </c>
      <c r="AO13" s="49" t="str">
        <f>IFERROR(_xlfn.XLOOKUP(A13,'02_DONNEES-EXIGENCES'!$B$4:$B$10,'02_DONNEES-EXIGENCES'!$K$4:$K$10),"")</f>
        <v>A++</v>
      </c>
      <c r="AP13" s="3" t="s">
        <v>83</v>
      </c>
      <c r="AQ13" s="22" t="str">
        <f>IFERROR(_xlfn.XLOOKUP(A13,'02_DONNEES-EXIGENCES'!$B$4:$B$10,'02_DONNEES-EXIGENCES'!$J$4:$J$10),"")</f>
        <v>70 à 80L</v>
      </c>
      <c r="AR13" s="24">
        <f>_xlfn.XLOOKUP(A13,'02_DONNEES-EXIGENCES'!$O$4:$O$8,'02_DONNEES-EXIGENCES'!$S$4:$S$8)</f>
        <v>187</v>
      </c>
      <c r="AS13" s="24">
        <f>IFERROR(INDEX('02_DONNEES-EXIGENCES'!$F$80:$O$85, MATCH(AP13, '02_DONNEES-EXIGENCES'!$E$80:$E$85, 0), MATCH(LEFT(AQ13,FIND(" à ",AQ13)-1)+0, '02_DONNEES-EXIGENCES'!$F$78:$O$78, 0))*AR13*B13,"")</f>
        <v>97.853360000000009</v>
      </c>
      <c r="AT13" s="24">
        <f>IFERROR(INDEX('02_DONNEES-EXIGENCES'!$F$80:$O$85, MATCH(_xlfn.XLOOKUP(AO13,'02_DONNEES-EXIGENCES'!$Z$4:$Z$10,'02_DONNEES-EXIGENCES'!$AB$4:$AB$10), '02_DONNEES-EXIGENCES'!$E$80:$E$85, 0), MATCH(LEFT(AQ13,FIND(" à ",AQ13)-1)+0, '02_DONNEES-EXIGENCES'!$F$78:$O$78, 0))*AR13*B13,"")</f>
        <v>168.87596000000002</v>
      </c>
      <c r="AU13" s="40">
        <f t="shared" si="4"/>
        <v>71.022600000000011</v>
      </c>
      <c r="AW13" s="93"/>
    </row>
    <row r="14" spans="1:49" x14ac:dyDescent="0.3">
      <c r="A14" s="39"/>
      <c r="B14" s="3"/>
      <c r="C14" s="6"/>
      <c r="D14" s="94" t="str">
        <f t="shared" si="5"/>
        <v/>
      </c>
      <c r="E14" s="94" t="str">
        <f t="shared" si="0"/>
        <v/>
      </c>
      <c r="F14" s="108"/>
      <c r="G14" s="96"/>
      <c r="H14" s="39"/>
      <c r="I14" s="59"/>
      <c r="J14" s="40" t="str">
        <f>IFERROR(IF(H14="Oui",IF(OR(I14="Salle de bain",I14="Buanderie ventilée"),_xlfn.XLOOKUP(A14,'02_DONNEES-EXIGENCES'!$O$4:$O$8,'02_DONNEES-EXIGENCES'!$T$4:$T$8)*B14*0.4,_xlfn.XLOOKUP(A14,'02_DONNEES-EXIGENCES'!$O$4:$O$8,'02_DONNEES-EXIGENCES'!$T$4:$T$8)*B14),""),"")</f>
        <v/>
      </c>
      <c r="K14" s="39"/>
      <c r="L14" s="40" t="str">
        <f>IF(K14="Oui",_xlfn.XLOOKUP(A14,'02_DONNEES-EXIGENCES'!$O$4:$O$8,'02_DONNEES-EXIGENCES'!$V$4:$V$8)*B14,"")</f>
        <v/>
      </c>
      <c r="M14" s="51" t="str">
        <f>IFERROR(_xlfn.XLOOKUP(A14,'02_DONNEES-EXIGENCES'!$B$4:$B$10,'02_DONNEES-EXIGENCES'!$G$4:$G$10),"")</f>
        <v/>
      </c>
      <c r="N14" s="3"/>
      <c r="O14" s="3"/>
      <c r="P14" s="3"/>
      <c r="Q14" s="3"/>
      <c r="R14" s="22" t="str">
        <f>IFERROR(_xlfn.XLOOKUP(A14,'02_DONNEES-EXIGENCES'!$B$4:$B$10,'02_DONNEES-EXIGENCES'!$F$4:$F$10),"")</f>
        <v/>
      </c>
      <c r="S14" s="22" t="str">
        <f>IF(A14="","",'02_DONNEES-EXIGENCES'!$D$31)</f>
        <v/>
      </c>
      <c r="T14" s="23" t="str">
        <f>IFERROR(INDEX('02_DONNEES-EXIGENCES'!$G$18:$L$23, MATCH(N14, '02_DONNEES-EXIGENCES'!$F$18:$F$23, 0), MATCH(_xlfn.NUMBERVALUE(LEFT(R14,1)), '02_DONNEES-EXIGENCES'!$G$16:$L$16, 0))*S14*B14,"")</f>
        <v/>
      </c>
      <c r="U14" s="23" t="str">
        <f>IFERROR(IF(O14="Oui",INDEX('02_DONNEES-EXIGENCES'!$G$18:$L$23, MATCH(N14, '02_DONNEES-EXIGENCES'!$F$18:$F$23, 0), MATCH(_xlfn.NUMBERVALUE(LEFT(R14,1)), '02_DONNEES-EXIGENCES'!$G$16:$L$16, 0))*S14*0.54*B14,""),"")</f>
        <v/>
      </c>
      <c r="V14" s="23" t="str">
        <f>IFERROR(IF(O14="Oui",IF(P14="100% Bois",0,((T14*0.46+'02_DONNEES-EXIGENCES'!$Q$26)/(_xlfn.XLOOKUP(P14,'02_DONNEES-EXIGENCES'!$O$18:$O$23,'02_DONNEES-EXIGENCES'!$P$18:$P$23)+(Q14/100)))*B14),""),"Entrez un équipement")</f>
        <v/>
      </c>
      <c r="W14" s="23" t="str">
        <f>IFERROR(INDEX('02_DONNEES-EXIGENCES'!$G$18:$L$23, MATCH(_xlfn.XLOOKUP(M14,'02_DONNEES-EXIGENCES'!$Z$4:$Z$10,'02_DONNEES-EXIGENCES'!$AA$4:$AA$10), '02_DONNEES-EXIGENCES'!$F$18:$F$23, 0), MATCH(_xlfn.NUMBERVALUE(LEFT(R14,1)), '02_DONNEES-EXIGENCES'!$G$16:$L$16, 0))*S14*B14,"")</f>
        <v/>
      </c>
      <c r="X14" s="57" t="str">
        <f t="shared" si="1"/>
        <v/>
      </c>
      <c r="Y14" s="51" t="str">
        <f>IFERROR(_xlfn.XLOOKUP(A14,'02_DONNEES-EXIGENCES'!$B$4:$B$10,'02_DONNEES-EXIGENCES'!$E$4:$E$10),"")</f>
        <v/>
      </c>
      <c r="Z14" s="3"/>
      <c r="AA14" s="22" t="str">
        <f>IFERROR(_xlfn.XLOOKUP(A14,'02_DONNEES-EXIGENCES'!$B$4:$B$10,'02_DONNEES-EXIGENCES'!$D$4:$D$10),"")</f>
        <v/>
      </c>
      <c r="AB14" s="23" t="str">
        <f>IFERROR(INDEX('02_DONNEES-EXIGENCES'!$G$40:$O$45, MATCH(Z14,'02_DONNEES-EXIGENCES'!$F$40:$F$45, 0), MATCH(LEFT(AA14,FIND(" à ",AA14)-1)+0, '02_DONNEES-EXIGENCES'!$G$38:$P$38, 0))*B14,"")</f>
        <v/>
      </c>
      <c r="AC14" s="23" t="str">
        <f>IFERROR(INDEX('02_DONNEES-EXIGENCES'!$G$40:$O$46, MATCH(_xlfn.XLOOKUP(Y14,'02_DONNEES-EXIGENCES'!$Z$4:$Z$10,'02_DONNEES-EXIGENCES'!$AA$4:$AA$10), '02_DONNEES-EXIGENCES'!$F$40:$F$46, 0), MATCH(LEFT(AA14,FIND(" à ",AA14)-1)+0, '02_DONNEES-EXIGENCES'!$G$38:$O$38, 0))*B14,"")</f>
        <v/>
      </c>
      <c r="AD14" s="57" t="str">
        <f t="shared" si="2"/>
        <v/>
      </c>
      <c r="AE14" s="49" t="str">
        <f>IFERROR(_xlfn.XLOOKUP(A14,'02_DONNEES-EXIGENCES'!$B$4:$B$10,'02_DONNEES-EXIGENCES'!$I$4:$I$10),"")</f>
        <v/>
      </c>
      <c r="AF14" s="3"/>
      <c r="AG14" s="22" t="str">
        <f>IFERROR(_xlfn.XLOOKUP(A14,'02_DONNEES-EXIGENCES'!$B$4:$B$10,'02_DONNEES-EXIGENCES'!$H$4:$H$10),"")</f>
        <v/>
      </c>
      <c r="AH14" s="22" t="str">
        <f>IF(A14="","",'02_DONNEES-EXIGENCES'!$D$70)</f>
        <v/>
      </c>
      <c r="AI14" s="24" t="str">
        <f>IFERROR(INDEX('02_DONNEES-EXIGENCES'!$G$55:$P$60, MATCH(AF14, '02_DONNEES-EXIGENCES'!$F$55:$F$60, 0), MATCH(LEFT(AG14,FIND(" à ",AG14)-1)+0, '02_DONNEES-EXIGENCES'!$G$53:$P$53, 0))*AH14*B14,"")</f>
        <v/>
      </c>
      <c r="AJ14" s="24" t="str">
        <f>IFERROR(INDEX('02_DONNEES-EXIGENCES'!$G$55:$P$60, MATCH(_xlfn.XLOOKUP(AE14,'02_DONNEES-EXIGENCES'!$Z$4:$Z$10,'02_DONNEES-EXIGENCES'!$AA$4:$AA$10), '02_DONNEES-EXIGENCES'!$F$55:$F$60, 0), MATCH(LEFT(AG14,FIND(" à ",AG14)-1)+0, '02_DONNEES-EXIGENCES'!$G$53:$P$53, 0))*AH14*B14,"")</f>
        <v/>
      </c>
      <c r="AK14" s="47" t="str">
        <f t="shared" si="3"/>
        <v/>
      </c>
      <c r="AL14" s="77"/>
      <c r="AM14" s="6"/>
      <c r="AN14" s="40" t="str">
        <f>IF(AND(AL14="OUI",AM14="Induction"),_xlfn.XLOOKUP(A14,'02_DONNEES-EXIGENCES'!$O$4:$O$8,'02_DONNEES-EXIGENCES'!$U$4:$U$8)*B14,"")</f>
        <v/>
      </c>
      <c r="AO14" s="49" t="str">
        <f>IFERROR(_xlfn.XLOOKUP(A14,'02_DONNEES-EXIGENCES'!$B$4:$B$10,'02_DONNEES-EXIGENCES'!$K$4:$K$10),"")</f>
        <v/>
      </c>
      <c r="AP14" s="3"/>
      <c r="AQ14" s="22" t="str">
        <f>IFERROR(_xlfn.XLOOKUP(A14,'02_DONNEES-EXIGENCES'!$B$4:$B$10,'02_DONNEES-EXIGENCES'!$J$4:$J$10),"")</f>
        <v/>
      </c>
      <c r="AR14" s="24" t="str">
        <f>IF(A14="","",'02_DONNEES-EXIGENCES'!$C$97)</f>
        <v/>
      </c>
      <c r="AS14" s="24" t="str">
        <f>IFERROR(INDEX('02_DONNEES-EXIGENCES'!$F$80:$O$85, MATCH(AP14, '02_DONNEES-EXIGENCES'!$E$80:$E$85, 0), MATCH(LEFT(AQ14,FIND(" à ",AQ14)-1)+0, '02_DONNEES-EXIGENCES'!$F$78:$O$78, 0))*AR14*B14,"")</f>
        <v/>
      </c>
      <c r="AT14" s="24" t="str">
        <f>IFERROR(INDEX('02_DONNEES-EXIGENCES'!$F$80:$O$85, MATCH(_xlfn.XLOOKUP(AO14,'02_DONNEES-EXIGENCES'!$Z$4:$Z$10,'02_DONNEES-EXIGENCES'!$AB$4:$AB$10), '02_DONNEES-EXIGENCES'!$E$80:$E$85, 0), MATCH(LEFT(AQ14,FIND(" à ",AQ14)-1)+0, '02_DONNEES-EXIGENCES'!$F$78:$O$78, 0))*AR14*B14,"")</f>
        <v/>
      </c>
      <c r="AU14" s="40" t="str">
        <f t="shared" si="4"/>
        <v/>
      </c>
      <c r="AW14" s="93"/>
    </row>
    <row r="15" spans="1:49" ht="15" thickBot="1" x14ac:dyDescent="0.35">
      <c r="A15" s="41"/>
      <c r="B15" s="42"/>
      <c r="C15" s="42"/>
      <c r="D15" s="95" t="str">
        <f t="shared" si="5"/>
        <v/>
      </c>
      <c r="E15" s="95" t="str">
        <f t="shared" si="0"/>
        <v/>
      </c>
      <c r="F15" s="109"/>
      <c r="G15" s="97"/>
      <c r="H15" s="41"/>
      <c r="I15" s="60"/>
      <c r="J15" s="46" t="str">
        <f>IFERROR(IF(H15="Oui",IF(OR(I15="Salle de bain",I15="Buanderie ventilée"),_xlfn.XLOOKUP(A15,'02_DONNEES-EXIGENCES'!$O$4:$O$8,'02_DONNEES-EXIGENCES'!$T$4:$T$8)*B15*0.4,_xlfn.XLOOKUP(A15,'02_DONNEES-EXIGENCES'!$O$4:$O$8,'02_DONNEES-EXIGENCES'!$T$4:$T$8)*B15),""),"")</f>
        <v/>
      </c>
      <c r="K15" s="41"/>
      <c r="L15" s="46" t="str">
        <f>IF(K15="Oui",_xlfn.XLOOKUP(A15,'02_DONNEES-EXIGENCES'!$O$4:$O$8,'02_DONNEES-EXIGENCES'!$V$4:$V$8)*B15,"")</f>
        <v/>
      </c>
      <c r="M15" s="52" t="str">
        <f>IFERROR(_xlfn.XLOOKUP(A15,'02_DONNEES-EXIGENCES'!$B$4:$B$10,'02_DONNEES-EXIGENCES'!$G$4:$G$10),"")</f>
        <v/>
      </c>
      <c r="N15" s="42"/>
      <c r="O15" s="42"/>
      <c r="P15" s="42"/>
      <c r="Q15" s="42"/>
      <c r="R15" s="44" t="str">
        <f>IFERROR(_xlfn.XLOOKUP(A15,'02_DONNEES-EXIGENCES'!$B$4:$B$10,'02_DONNEES-EXIGENCES'!$F$4:$F$10),"")</f>
        <v/>
      </c>
      <c r="S15" s="44" t="str">
        <f>IF(A15="","",'02_DONNEES-EXIGENCES'!$D$31)</f>
        <v/>
      </c>
      <c r="T15" s="45" t="str">
        <f>IFERROR(INDEX('02_DONNEES-EXIGENCES'!$G$18:$L$23, MATCH(N15, '02_DONNEES-EXIGENCES'!$F$18:$F$23, 0), MATCH(_xlfn.NUMBERVALUE(LEFT(R15,1)), '02_DONNEES-EXIGENCES'!$G$16:$L$16, 0))*S15*B15,"")</f>
        <v/>
      </c>
      <c r="U15" s="45" t="str">
        <f>IFERROR(IF(O15="Oui",INDEX('02_DONNEES-EXIGENCES'!$G$18:$L$23, MATCH(N15, '02_DONNEES-EXIGENCES'!$F$18:$F$23, 0), MATCH(_xlfn.NUMBERVALUE(LEFT(R15,1)), '02_DONNEES-EXIGENCES'!$G$16:$L$16, 0))*S15*0.54*B15,""),"")</f>
        <v/>
      </c>
      <c r="V15" s="45" t="str">
        <f>IFERROR(IF(O15="Oui",IF(P15="100% Bois",0,((T15*0.46+'02_DONNEES-EXIGENCES'!$Q$26)/(_xlfn.XLOOKUP(P15,'02_DONNEES-EXIGENCES'!$O$18:$O$23,'02_DONNEES-EXIGENCES'!$P$18:$P$23)+(Q15/100)))*B15),""),"Entrez un équipement")</f>
        <v/>
      </c>
      <c r="W15" s="45" t="str">
        <f>IFERROR(INDEX('02_DONNEES-EXIGENCES'!$G$18:$L$23, MATCH(_xlfn.XLOOKUP(M15,'02_DONNEES-EXIGENCES'!$Z$4:$Z$10,'02_DONNEES-EXIGENCES'!$AA$4:$AA$10), '02_DONNEES-EXIGENCES'!$F$18:$F$23, 0), MATCH(_xlfn.NUMBERVALUE(LEFT(R15,1)), '02_DONNEES-EXIGENCES'!$G$16:$L$16, 0))*S15*B15,"")</f>
        <v/>
      </c>
      <c r="X15" s="58" t="str">
        <f t="shared" si="1"/>
        <v/>
      </c>
      <c r="Y15" s="52" t="str">
        <f>IFERROR(_xlfn.XLOOKUP(A15,'02_DONNEES-EXIGENCES'!$B$4:$B$10,'02_DONNEES-EXIGENCES'!$E$4:$E$10),"")</f>
        <v/>
      </c>
      <c r="Z15" s="42"/>
      <c r="AA15" s="44" t="str">
        <f>IFERROR(_xlfn.XLOOKUP(A15,'02_DONNEES-EXIGENCES'!$B$4:$B$10,'02_DONNEES-EXIGENCES'!$D$4:$D$10),"")</f>
        <v/>
      </c>
      <c r="AB15" s="45" t="str">
        <f>IFERROR(INDEX('02_DONNEES-EXIGENCES'!$G$40:$O$45, MATCH(Z15,'02_DONNEES-EXIGENCES'!$F$40:$F$45, 0), MATCH(LEFT(AA15,FIND(" à ",AA15)-1)+0, '02_DONNEES-EXIGENCES'!$G$38:$P$38, 0))*B15,"")</f>
        <v/>
      </c>
      <c r="AC15" s="45" t="str">
        <f>IFERROR(INDEX('02_DONNEES-EXIGENCES'!$G$40:$O$46, MATCH(_xlfn.XLOOKUP(Y15,'02_DONNEES-EXIGENCES'!$Z$4:$Z$10,'02_DONNEES-EXIGENCES'!$AA$4:$AA$10), '02_DONNEES-EXIGENCES'!$F$40:$F$46, 0), MATCH(LEFT(AA15,FIND(" à ",AA15)-1)+0, '02_DONNEES-EXIGENCES'!$G$38:$O$38, 0))*B15,"")</f>
        <v/>
      </c>
      <c r="AD15" s="58" t="str">
        <f t="shared" si="2"/>
        <v/>
      </c>
      <c r="AE15" s="50" t="str">
        <f>IFERROR(_xlfn.XLOOKUP(A15,'02_DONNEES-EXIGENCES'!$B$4:$B$10,'02_DONNEES-EXIGENCES'!$I$4:$I$10),"")</f>
        <v/>
      </c>
      <c r="AF15" s="42"/>
      <c r="AG15" s="44" t="str">
        <f>IFERROR(_xlfn.XLOOKUP(A15,'02_DONNEES-EXIGENCES'!$B$4:$B$10,'02_DONNEES-EXIGENCES'!$H$4:$H$10),"")</f>
        <v/>
      </c>
      <c r="AH15" s="44" t="str">
        <f>IF(A15="","",'02_DONNEES-EXIGENCES'!$D$70)</f>
        <v/>
      </c>
      <c r="AI15" s="43" t="str">
        <f>IFERROR(INDEX('02_DONNEES-EXIGENCES'!$G$55:$P$60, MATCH(AF15, '02_DONNEES-EXIGENCES'!$F$55:$F$60, 0), MATCH(LEFT(AG15,FIND(" à ",AG15)-1)+0, '02_DONNEES-EXIGENCES'!$G$53:$P$53, 0))*AH15*B15,"")</f>
        <v/>
      </c>
      <c r="AJ15" s="43" t="str">
        <f>IFERROR(INDEX('02_DONNEES-EXIGENCES'!$G$55:$P$60, MATCH(_xlfn.XLOOKUP(AE15,'02_DONNEES-EXIGENCES'!$Z$4:$Z$10,'02_DONNEES-EXIGENCES'!$AA$4:$AA$10), '02_DONNEES-EXIGENCES'!$F$55:$F$60, 0), MATCH(LEFT(AG15,FIND(" à ",AG15)-1)+0, '02_DONNEES-EXIGENCES'!$G$53:$P$53, 0))*AH15*B15,"")</f>
        <v/>
      </c>
      <c r="AK15" s="48" t="str">
        <f t="shared" si="3"/>
        <v/>
      </c>
      <c r="AL15" s="78"/>
      <c r="AM15" s="79"/>
      <c r="AN15" s="46" t="str">
        <f>IF(AND(AL15="OUI",AM15="Induction"),_xlfn.XLOOKUP(A15,'02_DONNEES-EXIGENCES'!$O$4:$O$8,'02_DONNEES-EXIGENCES'!$U$4:$U$8)*B15,"")</f>
        <v/>
      </c>
      <c r="AO15" s="50" t="str">
        <f>IFERROR(_xlfn.XLOOKUP(A15,'02_DONNEES-EXIGENCES'!$B$4:$B$10,'02_DONNEES-EXIGENCES'!$K$4:$K$10),"")</f>
        <v/>
      </c>
      <c r="AP15" s="42"/>
      <c r="AQ15" s="44" t="str">
        <f>IFERROR(_xlfn.XLOOKUP(A15,'02_DONNEES-EXIGENCES'!$B$4:$B$10,'02_DONNEES-EXIGENCES'!$J$4:$J$10),"")</f>
        <v/>
      </c>
      <c r="AR15" s="43" t="str">
        <f>IF(A15="","",'02_DONNEES-EXIGENCES'!$C$97)</f>
        <v/>
      </c>
      <c r="AS15" s="43" t="str">
        <f>IFERROR(INDEX('02_DONNEES-EXIGENCES'!$F$80:$O$85, MATCH(AP15, '02_DONNEES-EXIGENCES'!$E$80:$E$85, 0), MATCH(LEFT(AQ15,FIND(" à ",AQ15)-1)+0, '02_DONNEES-EXIGENCES'!$F$78:$O$78, 0))*AR15*B15,"")</f>
        <v/>
      </c>
      <c r="AT15" s="43" t="str">
        <f>IFERROR(INDEX('02_DONNEES-EXIGENCES'!$F$80:$O$85, MATCH(_xlfn.XLOOKUP(AO15,'02_DONNEES-EXIGENCES'!$Z$4:$Z$10,'02_DONNEES-EXIGENCES'!$AB$4:$AB$10), '02_DONNEES-EXIGENCES'!$E$80:$E$85, 0), MATCH(LEFT(AQ15,FIND(" à ",AQ15)-1)+0, '02_DONNEES-EXIGENCES'!$F$78:$O$78, 0))*AR15*B15,"")</f>
        <v/>
      </c>
      <c r="AU15" s="46" t="str">
        <f t="shared" si="4"/>
        <v/>
      </c>
      <c r="AW15" s="93"/>
    </row>
    <row r="16" spans="1:49" x14ac:dyDescent="0.3">
      <c r="AI16" t="str">
        <f>IFERROR(_xlfn.XLOOKUP(A16,'02_DONNEES-EXIGENCES'!$B$4:$B$10,'02_DONNEES-EXIGENCES'!$H$4:$H$10),"")</f>
        <v/>
      </c>
    </row>
    <row r="18" spans="12:24" x14ac:dyDescent="0.3">
      <c r="L18"/>
      <c r="O18" s="1"/>
    </row>
    <row r="19" spans="12:24" x14ac:dyDescent="0.3">
      <c r="L19"/>
      <c r="O19" s="1"/>
    </row>
    <row r="20" spans="12:24" x14ac:dyDescent="0.3">
      <c r="L20"/>
      <c r="O20" s="1"/>
      <c r="T20" s="8"/>
      <c r="U20" s="8"/>
      <c r="V20" s="8"/>
      <c r="W20" s="8"/>
      <c r="X20" s="8"/>
    </row>
    <row r="21" spans="12:24" x14ac:dyDescent="0.3">
      <c r="L21"/>
      <c r="O21" s="1"/>
      <c r="T21" s="8"/>
      <c r="U21" s="8"/>
      <c r="V21" s="8"/>
      <c r="W21" s="8"/>
      <c r="X21" s="8"/>
    </row>
    <row r="22" spans="12:24" x14ac:dyDescent="0.3">
      <c r="L22"/>
      <c r="O22" s="1"/>
    </row>
    <row r="23" spans="12:24" x14ac:dyDescent="0.3">
      <c r="L23"/>
      <c r="O23" s="1"/>
    </row>
    <row r="24" spans="12:24" x14ac:dyDescent="0.3">
      <c r="L24"/>
    </row>
    <row r="25" spans="12:24" x14ac:dyDescent="0.3">
      <c r="L25"/>
    </row>
    <row r="26" spans="12:24" x14ac:dyDescent="0.3">
      <c r="L26"/>
    </row>
    <row r="27" spans="12:24" x14ac:dyDescent="0.3">
      <c r="L27"/>
    </row>
    <row r="28" spans="12:24" x14ac:dyDescent="0.3">
      <c r="L28"/>
    </row>
    <row r="29" spans="12:24" x14ac:dyDescent="0.3">
      <c r="L29"/>
    </row>
    <row r="30" spans="12:24" x14ac:dyDescent="0.3">
      <c r="L30"/>
    </row>
    <row r="31" spans="12:24" x14ac:dyDescent="0.3">
      <c r="L31"/>
    </row>
    <row r="32" spans="12:24" x14ac:dyDescent="0.3">
      <c r="L32"/>
    </row>
    <row r="33" spans="12:15" x14ac:dyDescent="0.3">
      <c r="L33"/>
    </row>
    <row r="34" spans="12:15" x14ac:dyDescent="0.3">
      <c r="L34"/>
    </row>
    <row r="35" spans="12:15" x14ac:dyDescent="0.3">
      <c r="L35"/>
    </row>
    <row r="36" spans="12:15" ht="15.75" customHeight="1" x14ac:dyDescent="0.3">
      <c r="L36"/>
    </row>
    <row r="37" spans="12:15" x14ac:dyDescent="0.3">
      <c r="L37"/>
      <c r="O37" s="1"/>
    </row>
    <row r="38" spans="12:15" x14ac:dyDescent="0.3">
      <c r="L38"/>
      <c r="O38" s="1"/>
    </row>
    <row r="39" spans="12:15" x14ac:dyDescent="0.3">
      <c r="L39"/>
      <c r="O39" s="1"/>
    </row>
    <row r="40" spans="12:15" x14ac:dyDescent="0.3">
      <c r="L40"/>
      <c r="O40" s="1"/>
    </row>
    <row r="41" spans="12:15" x14ac:dyDescent="0.3">
      <c r="L41"/>
      <c r="O41" s="1"/>
    </row>
  </sheetData>
  <mergeCells count="18">
    <mergeCell ref="AO7:AU7"/>
    <mergeCell ref="A7:A8"/>
    <mergeCell ref="M7:X7"/>
    <mergeCell ref="AE7:AK7"/>
    <mergeCell ref="B7:B8"/>
    <mergeCell ref="K7:L7"/>
    <mergeCell ref="Y7:AD7"/>
    <mergeCell ref="D7:D8"/>
    <mergeCell ref="F7:F8"/>
    <mergeCell ref="G7:G8"/>
    <mergeCell ref="E7:E8"/>
    <mergeCell ref="H7:J7"/>
    <mergeCell ref="C7:C8"/>
    <mergeCell ref="C2:D2"/>
    <mergeCell ref="C3:D3"/>
    <mergeCell ref="C4:D4"/>
    <mergeCell ref="C5:D5"/>
    <mergeCell ref="AL7:AN7"/>
  </mergeCells>
  <phoneticPr fontId="2" type="noConversion"/>
  <dataValidations disablePrompts="1" count="8">
    <dataValidation type="list" allowBlank="1" showInputMessage="1" showErrorMessage="1" sqref="H9:H15 K9:K15 O9:O15" xr:uid="{18679343-E0E0-49A1-A5CD-9CA820808981}">
      <formula1>"Oui,Non"</formula1>
    </dataValidation>
    <dataValidation type="list" allowBlank="1" showInputMessage="1" showErrorMessage="1" sqref="I9:I15" xr:uid="{66E3E6AB-B37C-448A-BCCA-04A89A152B18}">
      <formula1>"Fil extérieur collectif, Balcon abrité, Buanderie ventilée, Garage, Salle de bain"</formula1>
    </dataValidation>
    <dataValidation type="list" allowBlank="1" showInputMessage="1" showErrorMessage="1" sqref="AF9:AF15 N9:N15 Z9:Z15" xr:uid="{F7F60240-510B-4C07-9990-46F6422B4BE5}">
      <formula1>"Aucun,A,B,C,D,E,F"</formula1>
    </dataValidation>
    <dataValidation type="list" allowBlank="1" showInputMessage="1" showErrorMessage="1" sqref="AL9:AL15" xr:uid="{09E747A4-E824-4838-B6CB-8AE2A4C4C462}">
      <formula1>"OUI,NON"</formula1>
    </dataValidation>
    <dataValidation type="list" allowBlank="1" showInputMessage="1" showErrorMessage="1" sqref="AM9:AM15" xr:uid="{A9A918F5-1383-444E-8DA7-581BCBD87CD0}">
      <formula1>"Induction,Vitrocéramique"</formula1>
    </dataValidation>
    <dataValidation type="list" allowBlank="1" showInputMessage="1" showErrorMessage="1" sqref="AP9:AP15" xr:uid="{B5CA7ADB-CBC4-4EA1-A07F-0C97CAE075E8}">
      <formula1>"Aucun,A+++,A++,A+,A,B,C,D"</formula1>
    </dataValidation>
    <dataValidation type="list" allowBlank="1" showInputMessage="1" showErrorMessage="1" sqref="P9:P15" xr:uid="{F1A48E11-12D7-4DCA-B323-4C3688F8CB14}">
      <formula1>"Aucun,100% PAC,Solaire thermique (appoint gaz),100% Bois,Hybride gaz/bois,Hybride gaz/PAC,RCU,Autre système"</formula1>
    </dataValidation>
    <dataValidation type="list" showInputMessage="1" showErrorMessage="1" sqref="Q9:Q15" xr:uid="{4C2F58A6-B77A-49C0-B839-5A33D5F09D14}">
      <formula1>"10,20,30,40,50,60,70,80,90,100"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DE70003-3683-46B2-AE5F-3E83B0AB4F98}">
          <x14:formula1>
            <xm:f>'02_DONNEES-EXIGENCES'!$B$4:$B$11</xm:f>
          </x14:formula1>
          <xm:sqref>A9:A15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7BB8-979E-4FD8-B9C2-59BDF861EBC7}">
  <dimension ref="A1:AB121"/>
  <sheetViews>
    <sheetView zoomScale="85" zoomScaleNormal="100" workbookViewId="0">
      <selection activeCell="A49" sqref="A49:XFD49"/>
    </sheetView>
  </sheetViews>
  <sheetFormatPr baseColWidth="10" defaultColWidth="11.44140625" defaultRowHeight="14.4" x14ac:dyDescent="0.3"/>
  <cols>
    <col min="1" max="1" width="24.77734375" customWidth="1"/>
    <col min="2" max="2" width="23.77734375" customWidth="1"/>
    <col min="3" max="3" width="14.5546875" customWidth="1"/>
    <col min="4" max="4" width="9.77734375" customWidth="1"/>
    <col min="5" max="5" width="13.77734375" customWidth="1"/>
    <col min="6" max="6" width="13" customWidth="1"/>
    <col min="7" max="8" width="11.77734375" customWidth="1"/>
    <col min="9" max="9" width="14" customWidth="1"/>
    <col min="10" max="14" width="11.77734375" customWidth="1"/>
    <col min="15" max="15" width="14.5546875" customWidth="1"/>
    <col min="16" max="16" width="14.21875" customWidth="1"/>
    <col min="17" max="22" width="15.5546875" customWidth="1"/>
    <col min="23" max="23" width="9.21875" customWidth="1"/>
    <col min="24" max="24" width="7.21875" customWidth="1"/>
    <col min="25" max="30" width="16.44140625" customWidth="1"/>
  </cols>
  <sheetData>
    <row r="1" spans="1:28" s="19" customFormat="1" x14ac:dyDescent="0.3">
      <c r="A1" s="18" t="s">
        <v>14</v>
      </c>
    </row>
    <row r="2" spans="1:28" x14ac:dyDescent="0.3">
      <c r="B2" s="171" t="s">
        <v>0</v>
      </c>
      <c r="C2" s="171" t="s">
        <v>16</v>
      </c>
      <c r="D2" s="160" t="s">
        <v>3</v>
      </c>
      <c r="E2" s="160"/>
      <c r="F2" s="160" t="s">
        <v>4</v>
      </c>
      <c r="G2" s="160"/>
      <c r="H2" s="160" t="s">
        <v>15</v>
      </c>
      <c r="I2" s="160"/>
      <c r="J2" s="160" t="s">
        <v>86</v>
      </c>
      <c r="K2" s="160"/>
      <c r="L2" s="160" t="s">
        <v>6</v>
      </c>
      <c r="M2" s="160"/>
      <c r="O2" s="163" t="s">
        <v>198</v>
      </c>
      <c r="P2" s="163" t="s">
        <v>195</v>
      </c>
      <c r="Q2" s="160" t="s">
        <v>202</v>
      </c>
      <c r="R2" s="160"/>
      <c r="S2" s="160"/>
      <c r="T2" s="160" t="s">
        <v>201</v>
      </c>
      <c r="U2" s="160"/>
      <c r="V2" s="160"/>
      <c r="Z2" s="159" t="s">
        <v>87</v>
      </c>
      <c r="AA2" s="159"/>
      <c r="AB2" s="159"/>
    </row>
    <row r="3" spans="1:28" ht="43.2" x14ac:dyDescent="0.3">
      <c r="B3" s="172"/>
      <c r="C3" s="172"/>
      <c r="D3" s="4" t="s">
        <v>8</v>
      </c>
      <c r="E3" s="16" t="s">
        <v>17</v>
      </c>
      <c r="F3" s="4" t="s">
        <v>8</v>
      </c>
      <c r="G3" s="16" t="s">
        <v>17</v>
      </c>
      <c r="H3" s="4" t="s">
        <v>8</v>
      </c>
      <c r="I3" s="16" t="s">
        <v>17</v>
      </c>
      <c r="J3" s="2" t="s">
        <v>8</v>
      </c>
      <c r="K3" s="16" t="s">
        <v>17</v>
      </c>
      <c r="L3" s="2" t="s">
        <v>8</v>
      </c>
      <c r="M3" s="16" t="s">
        <v>17</v>
      </c>
      <c r="O3" s="163"/>
      <c r="P3" s="163"/>
      <c r="Q3" s="89" t="s">
        <v>192</v>
      </c>
      <c r="R3" s="106" t="s">
        <v>15</v>
      </c>
      <c r="S3" s="89" t="s">
        <v>86</v>
      </c>
      <c r="T3" s="106" t="s">
        <v>196</v>
      </c>
      <c r="U3" s="106" t="s">
        <v>194</v>
      </c>
      <c r="V3" s="106" t="s">
        <v>197</v>
      </c>
      <c r="Z3" s="2" t="s">
        <v>88</v>
      </c>
      <c r="AA3" s="2" t="s">
        <v>101</v>
      </c>
      <c r="AB3" s="2" t="s">
        <v>102</v>
      </c>
    </row>
    <row r="4" spans="1:28" ht="18" customHeight="1" x14ac:dyDescent="0.3">
      <c r="B4" s="7" t="s">
        <v>18</v>
      </c>
      <c r="C4" s="6" t="s">
        <v>19</v>
      </c>
      <c r="D4" s="6" t="s">
        <v>91</v>
      </c>
      <c r="E4" s="6" t="s">
        <v>46</v>
      </c>
      <c r="F4" s="7" t="s">
        <v>21</v>
      </c>
      <c r="G4" s="6" t="s">
        <v>12</v>
      </c>
      <c r="H4" s="7" t="s">
        <v>22</v>
      </c>
      <c r="I4" s="3" t="s">
        <v>23</v>
      </c>
      <c r="J4" s="7" t="s">
        <v>126</v>
      </c>
      <c r="K4" s="6" t="s">
        <v>83</v>
      </c>
      <c r="L4" s="7" t="s">
        <v>21</v>
      </c>
      <c r="M4" s="6" t="s">
        <v>24</v>
      </c>
      <c r="O4" s="3" t="s">
        <v>18</v>
      </c>
      <c r="P4" s="3">
        <v>20</v>
      </c>
      <c r="Q4" s="55">
        <f t="shared" ref="Q4:U7" si="0">Q$8/$P$8*$P4</f>
        <v>50.574712643678161</v>
      </c>
      <c r="R4" s="55">
        <f t="shared" si="0"/>
        <v>64.367816091954026</v>
      </c>
      <c r="S4" s="55">
        <f t="shared" si="0"/>
        <v>42.988505747126439</v>
      </c>
      <c r="T4" s="55">
        <f t="shared" si="0"/>
        <v>41.609195402298845</v>
      </c>
      <c r="U4" s="55">
        <f t="shared" si="0"/>
        <v>14.942528735632184</v>
      </c>
      <c r="V4" s="98">
        <f>(48+98)*0.25</f>
        <v>36.5</v>
      </c>
      <c r="Z4" s="5" t="s">
        <v>24</v>
      </c>
      <c r="AA4" s="5" t="s">
        <v>12</v>
      </c>
      <c r="AB4" s="5" t="s">
        <v>84</v>
      </c>
    </row>
    <row r="5" spans="1:28" ht="18" customHeight="1" x14ac:dyDescent="0.3">
      <c r="B5" s="7" t="s">
        <v>25</v>
      </c>
      <c r="C5" s="6" t="s">
        <v>19</v>
      </c>
      <c r="D5" s="6" t="s">
        <v>20</v>
      </c>
      <c r="E5" s="6" t="s">
        <v>46</v>
      </c>
      <c r="F5" s="7" t="s">
        <v>21</v>
      </c>
      <c r="G5" s="6" t="s">
        <v>12</v>
      </c>
      <c r="H5" s="7" t="s">
        <v>22</v>
      </c>
      <c r="I5" s="3" t="s">
        <v>23</v>
      </c>
      <c r="J5" s="7" t="s">
        <v>126</v>
      </c>
      <c r="K5" s="6" t="s">
        <v>83</v>
      </c>
      <c r="L5" s="7" t="s">
        <v>21</v>
      </c>
      <c r="M5" s="6" t="s">
        <v>24</v>
      </c>
      <c r="O5" s="3" t="s">
        <v>25</v>
      </c>
      <c r="P5" s="3">
        <v>36</v>
      </c>
      <c r="Q5" s="55">
        <f t="shared" si="0"/>
        <v>91.034482758620697</v>
      </c>
      <c r="R5" s="55">
        <f t="shared" si="0"/>
        <v>115.86206896551724</v>
      </c>
      <c r="S5" s="55">
        <f t="shared" si="0"/>
        <v>77.379310344827587</v>
      </c>
      <c r="T5" s="55">
        <f t="shared" si="0"/>
        <v>74.896551724137922</v>
      </c>
      <c r="U5" s="55">
        <f t="shared" si="0"/>
        <v>26.896551724137929</v>
      </c>
      <c r="V5" s="98">
        <f>(48+98)*0.25</f>
        <v>36.5</v>
      </c>
      <c r="Z5" s="5" t="s">
        <v>83</v>
      </c>
      <c r="AA5" s="5" t="s">
        <v>30</v>
      </c>
      <c r="AB5" s="5" t="s">
        <v>12</v>
      </c>
    </row>
    <row r="6" spans="1:28" ht="18" customHeight="1" x14ac:dyDescent="0.3">
      <c r="B6" s="7" t="s">
        <v>10</v>
      </c>
      <c r="C6" s="6" t="s">
        <v>26</v>
      </c>
      <c r="D6" s="6" t="s">
        <v>27</v>
      </c>
      <c r="E6" s="6" t="s">
        <v>23</v>
      </c>
      <c r="F6" s="7" t="s">
        <v>28</v>
      </c>
      <c r="G6" s="6" t="s">
        <v>12</v>
      </c>
      <c r="H6" s="7" t="s">
        <v>29</v>
      </c>
      <c r="I6" s="3" t="s">
        <v>30</v>
      </c>
      <c r="J6" s="7" t="s">
        <v>128</v>
      </c>
      <c r="K6" s="6" t="s">
        <v>83</v>
      </c>
      <c r="L6" s="7" t="s">
        <v>28</v>
      </c>
      <c r="M6" s="6" t="s">
        <v>24</v>
      </c>
      <c r="O6" s="3" t="s">
        <v>10</v>
      </c>
      <c r="P6" s="3">
        <v>60</v>
      </c>
      <c r="Q6" s="55">
        <f t="shared" si="0"/>
        <v>151.72413793103448</v>
      </c>
      <c r="R6" s="55">
        <f t="shared" si="0"/>
        <v>193.10344827586206</v>
      </c>
      <c r="S6" s="55">
        <f t="shared" si="0"/>
        <v>128.9655172413793</v>
      </c>
      <c r="T6" s="55">
        <f t="shared" si="0"/>
        <v>124.82758620689654</v>
      </c>
      <c r="U6" s="55">
        <f t="shared" si="0"/>
        <v>44.827586206896548</v>
      </c>
      <c r="V6" s="98">
        <f>(48+98)*0.25</f>
        <v>36.5</v>
      </c>
      <c r="Z6" s="5" t="s">
        <v>84</v>
      </c>
      <c r="AA6" s="5" t="s">
        <v>23</v>
      </c>
      <c r="AB6" s="5" t="s">
        <v>30</v>
      </c>
    </row>
    <row r="7" spans="1:28" ht="18" customHeight="1" x14ac:dyDescent="0.3">
      <c r="B7" s="7" t="s">
        <v>31</v>
      </c>
      <c r="C7" s="6" t="s">
        <v>32</v>
      </c>
      <c r="D7" s="6" t="s">
        <v>33</v>
      </c>
      <c r="E7" s="6" t="s">
        <v>23</v>
      </c>
      <c r="F7" s="7" t="s">
        <v>34</v>
      </c>
      <c r="G7" s="6" t="s">
        <v>12</v>
      </c>
      <c r="H7" s="7" t="s">
        <v>29</v>
      </c>
      <c r="I7" s="3" t="s">
        <v>30</v>
      </c>
      <c r="J7" s="7" t="s">
        <v>128</v>
      </c>
      <c r="K7" s="6" t="s">
        <v>83</v>
      </c>
      <c r="L7" s="7" t="s">
        <v>34</v>
      </c>
      <c r="M7" s="6" t="s">
        <v>24</v>
      </c>
      <c r="O7" s="3" t="s">
        <v>31</v>
      </c>
      <c r="P7" s="3">
        <v>75</v>
      </c>
      <c r="Q7" s="55">
        <f t="shared" si="0"/>
        <v>189.65517241379311</v>
      </c>
      <c r="R7" s="55">
        <f t="shared" si="0"/>
        <v>241.37931034482759</v>
      </c>
      <c r="S7" s="55">
        <f t="shared" si="0"/>
        <v>161.20689655172413</v>
      </c>
      <c r="T7" s="55">
        <f t="shared" si="0"/>
        <v>156.03448275862067</v>
      </c>
      <c r="U7" s="55">
        <f t="shared" si="0"/>
        <v>56.03448275862069</v>
      </c>
      <c r="V7" s="98">
        <f>(48+98)*0.25</f>
        <v>36.5</v>
      </c>
      <c r="Z7" s="5" t="s">
        <v>12</v>
      </c>
      <c r="AA7" s="5" t="s">
        <v>46</v>
      </c>
      <c r="AB7" s="5" t="s">
        <v>23</v>
      </c>
    </row>
    <row r="8" spans="1:28" ht="18" customHeight="1" x14ac:dyDescent="0.3">
      <c r="B8" s="7" t="s">
        <v>13</v>
      </c>
      <c r="C8" s="6" t="s">
        <v>35</v>
      </c>
      <c r="D8" s="6" t="s">
        <v>93</v>
      </c>
      <c r="E8" s="6" t="s">
        <v>30</v>
      </c>
      <c r="F8" s="7" t="s">
        <v>36</v>
      </c>
      <c r="G8" s="6" t="s">
        <v>12</v>
      </c>
      <c r="H8" s="7" t="s">
        <v>37</v>
      </c>
      <c r="I8" s="3" t="s">
        <v>12</v>
      </c>
      <c r="J8" s="7" t="s">
        <v>127</v>
      </c>
      <c r="K8" s="6" t="s">
        <v>83</v>
      </c>
      <c r="L8" s="7" t="s">
        <v>36</v>
      </c>
      <c r="M8" s="6" t="s">
        <v>24</v>
      </c>
      <c r="O8" s="3" t="s">
        <v>13</v>
      </c>
      <c r="P8" s="3">
        <v>87</v>
      </c>
      <c r="Q8" s="98">
        <v>220</v>
      </c>
      <c r="R8" s="3">
        <v>280</v>
      </c>
      <c r="S8" s="3">
        <v>187</v>
      </c>
      <c r="T8" s="3">
        <v>181</v>
      </c>
      <c r="U8" s="98">
        <f>177-112</f>
        <v>65</v>
      </c>
      <c r="V8" s="98">
        <f>(48+98)*0.25</f>
        <v>36.5</v>
      </c>
      <c r="Z8" s="5" t="s">
        <v>30</v>
      </c>
      <c r="AA8" s="5" t="s">
        <v>48</v>
      </c>
      <c r="AB8" s="5" t="s">
        <v>46</v>
      </c>
    </row>
    <row r="9" spans="1:28" ht="18" customHeight="1" x14ac:dyDescent="0.3">
      <c r="B9" s="7" t="s">
        <v>38</v>
      </c>
      <c r="C9" s="6" t="s">
        <v>35</v>
      </c>
      <c r="D9" s="6" t="s">
        <v>94</v>
      </c>
      <c r="E9" s="6" t="s">
        <v>30</v>
      </c>
      <c r="F9" s="7" t="s">
        <v>36</v>
      </c>
      <c r="G9" s="6" t="s">
        <v>12</v>
      </c>
      <c r="H9" s="7" t="s">
        <v>37</v>
      </c>
      <c r="I9" s="3" t="s">
        <v>12</v>
      </c>
      <c r="J9" s="7" t="s">
        <v>127</v>
      </c>
      <c r="K9" s="6" t="s">
        <v>83</v>
      </c>
      <c r="L9" s="7" t="s">
        <v>36</v>
      </c>
      <c r="M9" s="6" t="s">
        <v>24</v>
      </c>
      <c r="Z9" s="5" t="s">
        <v>23</v>
      </c>
      <c r="AA9" s="5" t="s">
        <v>50</v>
      </c>
      <c r="AB9" s="5" t="s">
        <v>48</v>
      </c>
    </row>
    <row r="10" spans="1:28" ht="18" customHeight="1" x14ac:dyDescent="0.3">
      <c r="B10" s="7" t="s">
        <v>39</v>
      </c>
      <c r="C10" s="6" t="s">
        <v>35</v>
      </c>
      <c r="D10" s="6" t="s">
        <v>95</v>
      </c>
      <c r="E10" s="6" t="s">
        <v>30</v>
      </c>
      <c r="F10" s="7" t="s">
        <v>36</v>
      </c>
      <c r="G10" s="6" t="s">
        <v>12</v>
      </c>
      <c r="H10" s="7" t="s">
        <v>37</v>
      </c>
      <c r="I10" s="3" t="s">
        <v>12</v>
      </c>
      <c r="J10" s="7" t="s">
        <v>127</v>
      </c>
      <c r="K10" s="6" t="s">
        <v>83</v>
      </c>
      <c r="L10" s="7" t="s">
        <v>36</v>
      </c>
      <c r="M10" s="6" t="s">
        <v>24</v>
      </c>
      <c r="O10" s="116"/>
      <c r="P10" s="116"/>
      <c r="Q10" s="112"/>
      <c r="R10" s="112"/>
      <c r="S10" s="112"/>
      <c r="Z10" s="5" t="s">
        <v>46</v>
      </c>
      <c r="AA10" s="5" t="s">
        <v>52</v>
      </c>
      <c r="AB10" s="5" t="s">
        <v>50</v>
      </c>
    </row>
    <row r="11" spans="1:28" x14ac:dyDescent="0.3">
      <c r="Z11" s="5" t="s">
        <v>48</v>
      </c>
      <c r="AA11" s="5"/>
      <c r="AB11" s="5" t="s">
        <v>52</v>
      </c>
    </row>
    <row r="12" spans="1:28" x14ac:dyDescent="0.3">
      <c r="Z12" s="5" t="s">
        <v>50</v>
      </c>
      <c r="AA12" s="5"/>
      <c r="AB12" s="5"/>
    </row>
    <row r="13" spans="1:28" s="19" customFormat="1" x14ac:dyDescent="0.3">
      <c r="A13" s="18" t="s">
        <v>40</v>
      </c>
    </row>
    <row r="14" spans="1:28" x14ac:dyDescent="0.3">
      <c r="A14" s="20"/>
    </row>
    <row r="15" spans="1:28" ht="34.5" customHeight="1" thickBot="1" x14ac:dyDescent="0.35">
      <c r="D15" s="161" t="s">
        <v>98</v>
      </c>
      <c r="E15" s="174"/>
      <c r="F15" s="174"/>
      <c r="G15" s="174"/>
      <c r="H15" s="174"/>
      <c r="I15" s="174"/>
      <c r="J15" s="174"/>
      <c r="K15" s="174"/>
      <c r="L15" s="162"/>
    </row>
    <row r="16" spans="1:28" ht="30" customHeight="1" thickBot="1" x14ac:dyDescent="0.35">
      <c r="A16" s="9" t="s">
        <v>41</v>
      </c>
      <c r="B16" s="9" t="s">
        <v>42</v>
      </c>
      <c r="D16" s="176" t="s">
        <v>99</v>
      </c>
      <c r="E16" s="176"/>
      <c r="F16" s="176"/>
      <c r="G16" s="117">
        <v>5</v>
      </c>
      <c r="H16" s="117">
        <v>6</v>
      </c>
      <c r="I16" s="117">
        <v>7</v>
      </c>
      <c r="J16" s="117">
        <v>8</v>
      </c>
      <c r="K16" s="117">
        <v>9</v>
      </c>
      <c r="L16" s="117">
        <v>10</v>
      </c>
      <c r="O16" s="157" t="s">
        <v>215</v>
      </c>
      <c r="P16" s="158"/>
    </row>
    <row r="17" spans="1:17" ht="15" thickBot="1" x14ac:dyDescent="0.35">
      <c r="A17" s="10" t="s">
        <v>12</v>
      </c>
      <c r="B17" s="11" t="s">
        <v>43</v>
      </c>
      <c r="D17" s="175" t="s">
        <v>100</v>
      </c>
      <c r="E17" s="175"/>
      <c r="F17" s="175"/>
      <c r="G17" s="30">
        <f>-0.0025*(G16^2)+0.0846*G16+0.392</f>
        <v>0.75249999999999995</v>
      </c>
      <c r="H17" s="30">
        <f t="shared" ref="H17:L17" si="1">-0.0025*(H16^2)+0.0846*H16+0.392</f>
        <v>0.80959999999999999</v>
      </c>
      <c r="I17" s="30">
        <f t="shared" si="1"/>
        <v>0.86169999999999991</v>
      </c>
      <c r="J17" s="30">
        <f t="shared" si="1"/>
        <v>0.90879999999999994</v>
      </c>
      <c r="K17" s="30">
        <f t="shared" si="1"/>
        <v>0.95089999999999997</v>
      </c>
      <c r="L17" s="30">
        <f t="shared" si="1"/>
        <v>0.98799999999999999</v>
      </c>
      <c r="O17" s="81" t="s">
        <v>149</v>
      </c>
      <c r="P17" s="82" t="s">
        <v>211</v>
      </c>
    </row>
    <row r="18" spans="1:17" ht="15" thickBot="1" x14ac:dyDescent="0.35">
      <c r="A18" s="10" t="s">
        <v>30</v>
      </c>
      <c r="B18" s="10" t="s">
        <v>44</v>
      </c>
      <c r="D18" s="178" t="s">
        <v>97</v>
      </c>
      <c r="E18" s="28">
        <v>52</v>
      </c>
      <c r="F18" s="29" t="s">
        <v>12</v>
      </c>
      <c r="G18" s="31">
        <f>$E18/100*G$17</f>
        <v>0.39129999999999998</v>
      </c>
      <c r="H18" s="32">
        <f t="shared" ref="H18:L23" si="2">$E18/100*H$17</f>
        <v>0.42099200000000003</v>
      </c>
      <c r="I18" s="32">
        <f t="shared" si="2"/>
        <v>0.44808399999999998</v>
      </c>
      <c r="J18" s="32">
        <f t="shared" si="2"/>
        <v>0.472576</v>
      </c>
      <c r="K18" s="32">
        <f t="shared" si="2"/>
        <v>0.49446800000000002</v>
      </c>
      <c r="L18" s="33">
        <f t="shared" si="2"/>
        <v>0.51375999999999999</v>
      </c>
      <c r="O18" s="83" t="s">
        <v>213</v>
      </c>
      <c r="P18" s="84">
        <v>3</v>
      </c>
    </row>
    <row r="19" spans="1:17" ht="15" thickBot="1" x14ac:dyDescent="0.35">
      <c r="A19" s="10" t="s">
        <v>23</v>
      </c>
      <c r="B19" s="10" t="s">
        <v>45</v>
      </c>
      <c r="D19" s="178"/>
      <c r="E19" s="28">
        <v>60</v>
      </c>
      <c r="F19" s="29" t="s">
        <v>30</v>
      </c>
      <c r="G19" s="34">
        <f t="shared" ref="G19:G23" si="3">$E19/100*G$17</f>
        <v>0.45149999999999996</v>
      </c>
      <c r="H19" s="26">
        <f t="shared" si="2"/>
        <v>0.48575999999999997</v>
      </c>
      <c r="I19" s="26">
        <f t="shared" si="2"/>
        <v>0.51701999999999992</v>
      </c>
      <c r="J19" s="26">
        <f t="shared" si="2"/>
        <v>0.54527999999999999</v>
      </c>
      <c r="K19" s="26">
        <f t="shared" si="2"/>
        <v>0.57053999999999994</v>
      </c>
      <c r="L19" s="35">
        <f t="shared" si="2"/>
        <v>0.59279999999999999</v>
      </c>
      <c r="O19" s="83" t="s">
        <v>150</v>
      </c>
      <c r="P19" s="84">
        <v>2</v>
      </c>
    </row>
    <row r="20" spans="1:17" ht="15" thickBot="1" x14ac:dyDescent="0.35">
      <c r="A20" s="10" t="s">
        <v>46</v>
      </c>
      <c r="B20" s="10" t="s">
        <v>47</v>
      </c>
      <c r="D20" s="178"/>
      <c r="E20" s="28">
        <v>69</v>
      </c>
      <c r="F20" s="29" t="s">
        <v>23</v>
      </c>
      <c r="G20" s="34">
        <f t="shared" si="3"/>
        <v>0.51922499999999994</v>
      </c>
      <c r="H20" s="26">
        <f t="shared" si="2"/>
        <v>0.5586239999999999</v>
      </c>
      <c r="I20" s="26">
        <f t="shared" si="2"/>
        <v>0.59457299999999991</v>
      </c>
      <c r="J20" s="26">
        <f t="shared" si="2"/>
        <v>0.62707199999999996</v>
      </c>
      <c r="K20" s="26">
        <f t="shared" si="2"/>
        <v>0.65612099999999995</v>
      </c>
      <c r="L20" s="35">
        <f t="shared" si="2"/>
        <v>0.68171999999999999</v>
      </c>
      <c r="O20" s="83" t="s">
        <v>212</v>
      </c>
      <c r="P20" s="84">
        <v>3.5</v>
      </c>
    </row>
    <row r="21" spans="1:17" ht="15" thickBot="1" x14ac:dyDescent="0.35">
      <c r="A21" s="10" t="s">
        <v>48</v>
      </c>
      <c r="B21" s="10" t="s">
        <v>49</v>
      </c>
      <c r="D21" s="178"/>
      <c r="E21" s="28">
        <v>80</v>
      </c>
      <c r="F21" s="29" t="s">
        <v>46</v>
      </c>
      <c r="G21" s="34">
        <f t="shared" si="3"/>
        <v>0.60199999999999998</v>
      </c>
      <c r="H21" s="26">
        <f t="shared" si="2"/>
        <v>0.64768000000000003</v>
      </c>
      <c r="I21" s="26">
        <f t="shared" si="2"/>
        <v>0.68935999999999997</v>
      </c>
      <c r="J21" s="26">
        <f t="shared" si="2"/>
        <v>0.72704000000000002</v>
      </c>
      <c r="K21" s="26">
        <f t="shared" si="2"/>
        <v>0.76072000000000006</v>
      </c>
      <c r="L21" s="35">
        <f t="shared" si="2"/>
        <v>0.79039999999999999</v>
      </c>
      <c r="O21" s="83" t="s">
        <v>151</v>
      </c>
      <c r="P21" s="84">
        <v>2</v>
      </c>
    </row>
    <row r="22" spans="1:17" ht="15" thickBot="1" x14ac:dyDescent="0.35">
      <c r="A22" s="10" t="s">
        <v>50</v>
      </c>
      <c r="B22" s="10" t="s">
        <v>51</v>
      </c>
      <c r="D22" s="178"/>
      <c r="E22" s="28">
        <v>91</v>
      </c>
      <c r="F22" s="29" t="s">
        <v>48</v>
      </c>
      <c r="G22" s="34">
        <f t="shared" si="3"/>
        <v>0.68477500000000002</v>
      </c>
      <c r="H22" s="26">
        <f t="shared" si="2"/>
        <v>0.73673600000000006</v>
      </c>
      <c r="I22" s="26">
        <f t="shared" si="2"/>
        <v>0.78414699999999993</v>
      </c>
      <c r="J22" s="26">
        <f t="shared" si="2"/>
        <v>0.82700799999999997</v>
      </c>
      <c r="K22" s="26">
        <f t="shared" si="2"/>
        <v>0.86531899999999995</v>
      </c>
      <c r="L22" s="35">
        <f t="shared" si="2"/>
        <v>0.89907999999999999</v>
      </c>
      <c r="O22" s="83" t="s">
        <v>152</v>
      </c>
      <c r="P22" s="84">
        <f>1+'01_OUTIL'!Q9/100</f>
        <v>1</v>
      </c>
    </row>
    <row r="23" spans="1:17" ht="15" thickBot="1" x14ac:dyDescent="0.35">
      <c r="A23" s="10" t="s">
        <v>52</v>
      </c>
      <c r="B23" s="11" t="s">
        <v>53</v>
      </c>
      <c r="D23" s="178"/>
      <c r="E23" s="28">
        <v>102</v>
      </c>
      <c r="F23" s="29" t="s">
        <v>50</v>
      </c>
      <c r="G23" s="36">
        <f t="shared" si="3"/>
        <v>0.76754999999999995</v>
      </c>
      <c r="H23" s="37">
        <f t="shared" si="2"/>
        <v>0.82579199999999997</v>
      </c>
      <c r="I23" s="37">
        <f t="shared" si="2"/>
        <v>0.87893399999999988</v>
      </c>
      <c r="J23" s="37">
        <f t="shared" si="2"/>
        <v>0.92697599999999991</v>
      </c>
      <c r="K23" s="37">
        <f t="shared" si="2"/>
        <v>0.96991799999999995</v>
      </c>
      <c r="L23" s="38">
        <f t="shared" si="2"/>
        <v>1.00776</v>
      </c>
      <c r="M23" s="53"/>
      <c r="O23" s="85" t="s">
        <v>153</v>
      </c>
      <c r="P23" s="86">
        <v>1</v>
      </c>
    </row>
    <row r="25" spans="1:17" ht="18" x14ac:dyDescent="0.35">
      <c r="A25" s="12" t="s">
        <v>54</v>
      </c>
    </row>
    <row r="26" spans="1:17" x14ac:dyDescent="0.3">
      <c r="A26" t="s">
        <v>55</v>
      </c>
      <c r="O26" s="161" t="s">
        <v>148</v>
      </c>
      <c r="P26" s="162"/>
      <c r="Q26" s="14">
        <f>P27*P28*P29/3600000</f>
        <v>3.9243750000000001E-2</v>
      </c>
    </row>
    <row r="27" spans="1:17" x14ac:dyDescent="0.3">
      <c r="A27" t="s">
        <v>56</v>
      </c>
      <c r="O27" s="5" t="s">
        <v>145</v>
      </c>
      <c r="P27" s="5">
        <v>0.75</v>
      </c>
    </row>
    <row r="28" spans="1:17" x14ac:dyDescent="0.3">
      <c r="O28" s="5" t="s">
        <v>146</v>
      </c>
      <c r="P28" s="5">
        <v>4186</v>
      </c>
    </row>
    <row r="29" spans="1:17" x14ac:dyDescent="0.3">
      <c r="A29" s="15" t="s">
        <v>57</v>
      </c>
      <c r="O29" s="5" t="s">
        <v>147</v>
      </c>
      <c r="P29" s="5">
        <f>60-15</f>
        <v>45</v>
      </c>
    </row>
    <row r="30" spans="1:17" x14ac:dyDescent="0.3">
      <c r="A30" t="s">
        <v>116</v>
      </c>
      <c r="D30">
        <v>198</v>
      </c>
    </row>
    <row r="31" spans="1:17" x14ac:dyDescent="0.3">
      <c r="A31" t="s">
        <v>58</v>
      </c>
      <c r="D31">
        <v>220</v>
      </c>
    </row>
    <row r="32" spans="1:17" x14ac:dyDescent="0.3">
      <c r="A32" t="s">
        <v>59</v>
      </c>
      <c r="D32" s="15" t="s">
        <v>60</v>
      </c>
    </row>
    <row r="33" spans="1:15" x14ac:dyDescent="0.3">
      <c r="D33" s="15"/>
    </row>
    <row r="34" spans="1:15" x14ac:dyDescent="0.3">
      <c r="D34" s="15"/>
    </row>
    <row r="35" spans="1:15" s="19" customFormat="1" x14ac:dyDescent="0.3">
      <c r="A35" s="18" t="s">
        <v>61</v>
      </c>
    </row>
    <row r="37" spans="1:15" ht="15" thickBot="1" x14ac:dyDescent="0.35">
      <c r="D37" s="110" t="s">
        <v>114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 ht="27" thickBot="1" x14ac:dyDescent="0.35">
      <c r="A38" s="9" t="s">
        <v>41</v>
      </c>
      <c r="B38" s="9" t="s">
        <v>103</v>
      </c>
      <c r="D38" s="156" t="s">
        <v>112</v>
      </c>
      <c r="E38" s="156"/>
      <c r="F38" s="156"/>
      <c r="G38" s="27">
        <v>80</v>
      </c>
      <c r="H38" s="27">
        <v>100</v>
      </c>
      <c r="I38" s="27">
        <v>150</v>
      </c>
      <c r="J38" s="27">
        <v>200</v>
      </c>
      <c r="K38" s="27">
        <v>250</v>
      </c>
      <c r="L38" s="27">
        <v>300</v>
      </c>
      <c r="M38" s="27">
        <v>350</v>
      </c>
      <c r="N38" s="27">
        <v>400</v>
      </c>
      <c r="O38" s="27">
        <v>450</v>
      </c>
    </row>
    <row r="39" spans="1:15" ht="15.75" customHeight="1" thickBot="1" x14ac:dyDescent="0.35">
      <c r="A39" s="10" t="s">
        <v>12</v>
      </c>
      <c r="B39" s="10" t="s">
        <v>118</v>
      </c>
      <c r="D39" s="177" t="s">
        <v>115</v>
      </c>
      <c r="E39" s="175"/>
      <c r="F39" s="175"/>
      <c r="G39" s="54">
        <f t="shared" ref="G39:O39" si="4">1*1*1*(1*1*1*(138+G38*1*0.12))</f>
        <v>147.6</v>
      </c>
      <c r="H39" s="54">
        <f t="shared" si="4"/>
        <v>150</v>
      </c>
      <c r="I39" s="54">
        <f t="shared" si="4"/>
        <v>156</v>
      </c>
      <c r="J39" s="54">
        <f t="shared" si="4"/>
        <v>162</v>
      </c>
      <c r="K39" s="54">
        <f t="shared" si="4"/>
        <v>168</v>
      </c>
      <c r="L39" s="54">
        <f t="shared" si="4"/>
        <v>174</v>
      </c>
      <c r="M39" s="54">
        <f t="shared" si="4"/>
        <v>180</v>
      </c>
      <c r="N39" s="54">
        <f t="shared" si="4"/>
        <v>186</v>
      </c>
      <c r="O39" s="54">
        <f t="shared" si="4"/>
        <v>192</v>
      </c>
    </row>
    <row r="40" spans="1:15" ht="15" thickBot="1" x14ac:dyDescent="0.35">
      <c r="A40" s="10" t="s">
        <v>30</v>
      </c>
      <c r="B40" s="10" t="s">
        <v>104</v>
      </c>
      <c r="D40" s="178" t="s">
        <v>113</v>
      </c>
      <c r="E40" s="56">
        <v>41</v>
      </c>
      <c r="F40" s="29" t="s">
        <v>12</v>
      </c>
      <c r="G40" s="55">
        <f t="shared" ref="G40:N40" si="5">$E40/100*G$39</f>
        <v>60.515999999999991</v>
      </c>
      <c r="H40" s="55">
        <f t="shared" si="5"/>
        <v>61.499999999999993</v>
      </c>
      <c r="I40" s="55">
        <f t="shared" si="5"/>
        <v>63.959999999999994</v>
      </c>
      <c r="J40" s="55">
        <f t="shared" si="5"/>
        <v>66.42</v>
      </c>
      <c r="K40" s="55">
        <f t="shared" si="5"/>
        <v>68.88</v>
      </c>
      <c r="L40" s="55">
        <f t="shared" si="5"/>
        <v>71.339999999999989</v>
      </c>
      <c r="M40" s="55">
        <f t="shared" si="5"/>
        <v>73.8</v>
      </c>
      <c r="N40" s="55">
        <f t="shared" si="5"/>
        <v>76.259999999999991</v>
      </c>
      <c r="O40" s="55">
        <f t="shared" ref="O40:O46" si="6">$E40/100*O$39</f>
        <v>78.72</v>
      </c>
    </row>
    <row r="41" spans="1:15" ht="15" thickBot="1" x14ac:dyDescent="0.35">
      <c r="A41" s="10" t="s">
        <v>23</v>
      </c>
      <c r="B41" s="10" t="s">
        <v>105</v>
      </c>
      <c r="D41" s="178"/>
      <c r="E41" s="56">
        <v>51</v>
      </c>
      <c r="F41" s="29" t="s">
        <v>30</v>
      </c>
      <c r="G41" s="55">
        <f t="shared" ref="G41:G45" si="7">$E41/100*G$39</f>
        <v>75.275999999999996</v>
      </c>
      <c r="H41" s="55">
        <f t="shared" ref="H41:N45" si="8">$E41/100*H$39</f>
        <v>76.5</v>
      </c>
      <c r="I41" s="55">
        <f t="shared" si="8"/>
        <v>79.56</v>
      </c>
      <c r="J41" s="55">
        <f t="shared" si="8"/>
        <v>82.62</v>
      </c>
      <c r="K41" s="55">
        <f t="shared" si="8"/>
        <v>85.68</v>
      </c>
      <c r="L41" s="55">
        <f t="shared" si="8"/>
        <v>88.74</v>
      </c>
      <c r="M41" s="55">
        <f t="shared" si="8"/>
        <v>91.8</v>
      </c>
      <c r="N41" s="55">
        <f t="shared" si="8"/>
        <v>94.86</v>
      </c>
      <c r="O41" s="55">
        <f t="shared" si="6"/>
        <v>97.92</v>
      </c>
    </row>
    <row r="42" spans="1:15" ht="15" thickBot="1" x14ac:dyDescent="0.35">
      <c r="A42" s="10" t="s">
        <v>46</v>
      </c>
      <c r="B42" s="10" t="s">
        <v>106</v>
      </c>
      <c r="D42" s="178"/>
      <c r="E42" s="56">
        <v>64</v>
      </c>
      <c r="F42" s="29" t="s">
        <v>23</v>
      </c>
      <c r="G42" s="55">
        <f t="shared" si="7"/>
        <v>94.463999999999999</v>
      </c>
      <c r="H42" s="55">
        <f t="shared" si="8"/>
        <v>96</v>
      </c>
      <c r="I42" s="55">
        <f t="shared" si="8"/>
        <v>99.84</v>
      </c>
      <c r="J42" s="55">
        <f t="shared" si="8"/>
        <v>103.68</v>
      </c>
      <c r="K42" s="55">
        <f t="shared" si="8"/>
        <v>107.52</v>
      </c>
      <c r="L42" s="55">
        <f t="shared" si="8"/>
        <v>111.36</v>
      </c>
      <c r="M42" s="55">
        <f t="shared" si="8"/>
        <v>115.2</v>
      </c>
      <c r="N42" s="55">
        <f t="shared" si="8"/>
        <v>119.04</v>
      </c>
      <c r="O42" s="55">
        <f t="shared" si="6"/>
        <v>122.88</v>
      </c>
    </row>
    <row r="43" spans="1:15" ht="15" thickBot="1" x14ac:dyDescent="0.35">
      <c r="A43" s="10" t="s">
        <v>48</v>
      </c>
      <c r="B43" s="10" t="s">
        <v>107</v>
      </c>
      <c r="D43" s="178"/>
      <c r="E43" s="56">
        <v>80</v>
      </c>
      <c r="F43" s="29" t="s">
        <v>46</v>
      </c>
      <c r="G43" s="55">
        <f t="shared" si="7"/>
        <v>118.08</v>
      </c>
      <c r="H43" s="55">
        <f t="shared" si="8"/>
        <v>120</v>
      </c>
      <c r="I43" s="55">
        <f t="shared" si="8"/>
        <v>124.80000000000001</v>
      </c>
      <c r="J43" s="55">
        <f t="shared" si="8"/>
        <v>129.6</v>
      </c>
      <c r="K43" s="55">
        <f t="shared" si="8"/>
        <v>134.4</v>
      </c>
      <c r="L43" s="55">
        <f t="shared" si="8"/>
        <v>139.20000000000002</v>
      </c>
      <c r="M43" s="55">
        <f t="shared" si="8"/>
        <v>144</v>
      </c>
      <c r="N43" s="55">
        <f t="shared" si="8"/>
        <v>148.80000000000001</v>
      </c>
      <c r="O43" s="55">
        <f t="shared" si="6"/>
        <v>153.60000000000002</v>
      </c>
    </row>
    <row r="44" spans="1:15" ht="15" thickBot="1" x14ac:dyDescent="0.35">
      <c r="A44" s="10" t="s">
        <v>50</v>
      </c>
      <c r="B44" s="10" t="s">
        <v>108</v>
      </c>
      <c r="D44" s="178"/>
      <c r="E44" s="56">
        <v>100</v>
      </c>
      <c r="F44" s="29" t="s">
        <v>48</v>
      </c>
      <c r="G44" s="55">
        <f t="shared" si="7"/>
        <v>147.6</v>
      </c>
      <c r="H44" s="55">
        <f t="shared" si="8"/>
        <v>150</v>
      </c>
      <c r="I44" s="55">
        <f t="shared" si="8"/>
        <v>156</v>
      </c>
      <c r="J44" s="55">
        <f t="shared" si="8"/>
        <v>162</v>
      </c>
      <c r="K44" s="55">
        <f t="shared" si="8"/>
        <v>168</v>
      </c>
      <c r="L44" s="55">
        <f t="shared" si="8"/>
        <v>174</v>
      </c>
      <c r="M44" s="55">
        <f t="shared" si="8"/>
        <v>180</v>
      </c>
      <c r="N44" s="55">
        <f t="shared" si="8"/>
        <v>186</v>
      </c>
      <c r="O44" s="55">
        <f t="shared" si="6"/>
        <v>192</v>
      </c>
    </row>
    <row r="45" spans="1:15" ht="15" thickBot="1" x14ac:dyDescent="0.35">
      <c r="A45" s="10" t="s">
        <v>52</v>
      </c>
      <c r="B45" s="10" t="s">
        <v>109</v>
      </c>
      <c r="D45" s="178"/>
      <c r="E45" s="56">
        <v>125</v>
      </c>
      <c r="F45" s="29" t="s">
        <v>50</v>
      </c>
      <c r="G45" s="55">
        <f t="shared" si="7"/>
        <v>184.5</v>
      </c>
      <c r="H45" s="55">
        <f t="shared" si="8"/>
        <v>187.5</v>
      </c>
      <c r="I45" s="55">
        <f t="shared" si="8"/>
        <v>195</v>
      </c>
      <c r="J45" s="55">
        <f t="shared" si="8"/>
        <v>202.5</v>
      </c>
      <c r="K45" s="55">
        <f t="shared" si="8"/>
        <v>210</v>
      </c>
      <c r="L45" s="55">
        <f t="shared" si="8"/>
        <v>217.5</v>
      </c>
      <c r="M45" s="55">
        <f t="shared" si="8"/>
        <v>225</v>
      </c>
      <c r="N45" s="55">
        <f t="shared" si="8"/>
        <v>232.5</v>
      </c>
      <c r="O45" s="55">
        <f t="shared" si="6"/>
        <v>240</v>
      </c>
    </row>
    <row r="46" spans="1:15" ht="18" x14ac:dyDescent="0.35">
      <c r="A46" s="12" t="s">
        <v>110</v>
      </c>
      <c r="D46" s="178"/>
      <c r="E46" s="56">
        <v>150</v>
      </c>
      <c r="F46" s="29" t="s">
        <v>52</v>
      </c>
      <c r="G46" s="55">
        <f t="shared" ref="G46:N46" si="9">$E46/100*G$39</f>
        <v>221.39999999999998</v>
      </c>
      <c r="H46" s="55">
        <f t="shared" si="9"/>
        <v>225</v>
      </c>
      <c r="I46" s="55">
        <f t="shared" si="9"/>
        <v>234</v>
      </c>
      <c r="J46" s="55">
        <f t="shared" si="9"/>
        <v>243</v>
      </c>
      <c r="K46" s="55">
        <f t="shared" si="9"/>
        <v>252</v>
      </c>
      <c r="L46" s="55">
        <f t="shared" si="9"/>
        <v>261</v>
      </c>
      <c r="M46" s="55">
        <f t="shared" si="9"/>
        <v>270</v>
      </c>
      <c r="N46" s="55">
        <f t="shared" si="9"/>
        <v>279</v>
      </c>
      <c r="O46" s="55">
        <f t="shared" si="6"/>
        <v>288</v>
      </c>
    </row>
    <row r="47" spans="1:15" ht="18" x14ac:dyDescent="0.35">
      <c r="A47" s="12"/>
    </row>
    <row r="48" spans="1:15" x14ac:dyDescent="0.3">
      <c r="A48" t="s">
        <v>62</v>
      </c>
      <c r="B48" s="15" t="s">
        <v>111</v>
      </c>
    </row>
    <row r="49" spans="1:16" x14ac:dyDescent="0.3">
      <c r="B49" s="15"/>
    </row>
    <row r="51" spans="1:16" s="19" customFormat="1" x14ac:dyDescent="0.3">
      <c r="A51" s="18" t="s">
        <v>63</v>
      </c>
    </row>
    <row r="52" spans="1:16" x14ac:dyDescent="0.3">
      <c r="E52" t="s">
        <v>64</v>
      </c>
    </row>
    <row r="53" spans="1:16" ht="15" thickBot="1" x14ac:dyDescent="0.35">
      <c r="E53" s="156" t="s">
        <v>123</v>
      </c>
      <c r="F53" s="156"/>
      <c r="G53" s="27">
        <v>7</v>
      </c>
      <c r="H53" s="27">
        <v>8</v>
      </c>
      <c r="I53" s="27">
        <v>9</v>
      </c>
      <c r="J53" s="27">
        <v>10</v>
      </c>
      <c r="K53" s="27">
        <v>11</v>
      </c>
      <c r="L53" s="27">
        <v>12</v>
      </c>
      <c r="M53" s="27">
        <v>13</v>
      </c>
      <c r="N53" s="27">
        <v>14</v>
      </c>
      <c r="O53" s="27">
        <v>15</v>
      </c>
      <c r="P53" s="27">
        <v>16</v>
      </c>
    </row>
    <row r="54" spans="1:16" ht="27" thickBot="1" x14ac:dyDescent="0.35">
      <c r="A54" s="9" t="s">
        <v>41</v>
      </c>
      <c r="B54" s="9" t="s">
        <v>103</v>
      </c>
      <c r="E54" s="169" t="s">
        <v>66</v>
      </c>
      <c r="F54" s="170"/>
      <c r="G54" s="30">
        <f>0.09*G53+0.45</f>
        <v>1.08</v>
      </c>
      <c r="H54" s="30">
        <f t="shared" ref="H54:I54" si="10">0.09*H53+0.45</f>
        <v>1.17</v>
      </c>
      <c r="I54" s="30">
        <f t="shared" si="10"/>
        <v>1.26</v>
      </c>
      <c r="J54" s="30">
        <f t="shared" ref="J54:N54" si="11">0.025*J53+1.35</f>
        <v>1.6</v>
      </c>
      <c r="K54" s="30">
        <f t="shared" si="11"/>
        <v>1.625</v>
      </c>
      <c r="L54" s="30">
        <f t="shared" si="11"/>
        <v>1.6500000000000001</v>
      </c>
      <c r="M54" s="30">
        <f t="shared" si="11"/>
        <v>1.675</v>
      </c>
      <c r="N54" s="30">
        <f t="shared" si="11"/>
        <v>1.7000000000000002</v>
      </c>
      <c r="O54" s="30">
        <f t="shared" ref="O54" si="12">0.025*O53+1.35</f>
        <v>1.7250000000000001</v>
      </c>
      <c r="P54" s="30">
        <f t="shared" ref="P54" si="13">0.025*P53+1.35</f>
        <v>1.75</v>
      </c>
    </row>
    <row r="55" spans="1:16" ht="15" customHeight="1" thickBot="1" x14ac:dyDescent="0.35">
      <c r="A55" s="10" t="s">
        <v>12</v>
      </c>
      <c r="B55" s="10" t="s">
        <v>65</v>
      </c>
      <c r="D55" s="164" t="s">
        <v>113</v>
      </c>
      <c r="E55" s="56">
        <v>32</v>
      </c>
      <c r="F55" s="56" t="s">
        <v>12</v>
      </c>
      <c r="G55" s="13">
        <f t="shared" ref="G55:N60" si="14">$E55/100*G$54</f>
        <v>0.34560000000000002</v>
      </c>
      <c r="H55" s="13">
        <f t="shared" si="14"/>
        <v>0.37440000000000001</v>
      </c>
      <c r="I55" s="13">
        <f t="shared" si="14"/>
        <v>0.4032</v>
      </c>
      <c r="J55" s="13">
        <f t="shared" si="14"/>
        <v>0.51200000000000001</v>
      </c>
      <c r="K55" s="13">
        <f t="shared" si="14"/>
        <v>0.52</v>
      </c>
      <c r="L55" s="13">
        <f t="shared" si="14"/>
        <v>0.52800000000000002</v>
      </c>
      <c r="M55" s="13">
        <f t="shared" si="14"/>
        <v>0.53600000000000003</v>
      </c>
      <c r="N55" s="13">
        <f t="shared" si="14"/>
        <v>0.54400000000000004</v>
      </c>
      <c r="O55" s="13">
        <f t="shared" ref="O55:P60" si="15">$E55/100*O$54</f>
        <v>0.55200000000000005</v>
      </c>
      <c r="P55" s="13">
        <f t="shared" si="15"/>
        <v>0.56000000000000005</v>
      </c>
    </row>
    <row r="56" spans="1:16" ht="15" thickBot="1" x14ac:dyDescent="0.35">
      <c r="A56" s="10" t="s">
        <v>30</v>
      </c>
      <c r="B56" s="10" t="s">
        <v>67</v>
      </c>
      <c r="D56" s="165"/>
      <c r="E56" s="56">
        <v>38</v>
      </c>
      <c r="F56" s="56" t="s">
        <v>30</v>
      </c>
      <c r="G56" s="13">
        <f t="shared" si="14"/>
        <v>0.41040000000000004</v>
      </c>
      <c r="H56" s="13">
        <f t="shared" si="14"/>
        <v>0.4446</v>
      </c>
      <c r="I56" s="13">
        <f t="shared" si="14"/>
        <v>0.4788</v>
      </c>
      <c r="J56" s="13">
        <f t="shared" si="14"/>
        <v>0.6080000000000001</v>
      </c>
      <c r="K56" s="13">
        <f t="shared" si="14"/>
        <v>0.61750000000000005</v>
      </c>
      <c r="L56" s="13">
        <f t="shared" si="14"/>
        <v>0.62700000000000011</v>
      </c>
      <c r="M56" s="13">
        <f t="shared" si="14"/>
        <v>0.63650000000000007</v>
      </c>
      <c r="N56" s="13">
        <f t="shared" si="14"/>
        <v>0.64600000000000013</v>
      </c>
      <c r="O56" s="13">
        <f t="shared" si="15"/>
        <v>0.65550000000000008</v>
      </c>
      <c r="P56" s="13">
        <f t="shared" si="15"/>
        <v>0.66500000000000004</v>
      </c>
    </row>
    <row r="57" spans="1:16" ht="15" thickBot="1" x14ac:dyDescent="0.35">
      <c r="A57" s="10" t="s">
        <v>23</v>
      </c>
      <c r="B57" s="10" t="s">
        <v>68</v>
      </c>
      <c r="D57" s="165"/>
      <c r="E57" s="56">
        <v>44</v>
      </c>
      <c r="F57" s="56" t="s">
        <v>23</v>
      </c>
      <c r="G57" s="13">
        <f t="shared" si="14"/>
        <v>0.47520000000000001</v>
      </c>
      <c r="H57" s="13">
        <f t="shared" si="14"/>
        <v>0.51479999999999992</v>
      </c>
      <c r="I57" s="13">
        <f t="shared" si="14"/>
        <v>0.5544</v>
      </c>
      <c r="J57" s="13">
        <f t="shared" si="14"/>
        <v>0.70400000000000007</v>
      </c>
      <c r="K57" s="13">
        <f t="shared" si="14"/>
        <v>0.71499999999999997</v>
      </c>
      <c r="L57" s="13">
        <f t="shared" si="14"/>
        <v>0.72600000000000009</v>
      </c>
      <c r="M57" s="13">
        <f t="shared" si="14"/>
        <v>0.73699999999999999</v>
      </c>
      <c r="N57" s="13">
        <f t="shared" si="14"/>
        <v>0.74800000000000011</v>
      </c>
      <c r="O57" s="13">
        <f t="shared" si="15"/>
        <v>0.75900000000000001</v>
      </c>
      <c r="P57" s="13">
        <f t="shared" si="15"/>
        <v>0.77</v>
      </c>
    </row>
    <row r="58" spans="1:16" ht="15" thickBot="1" x14ac:dyDescent="0.35">
      <c r="A58" s="10" t="s">
        <v>46</v>
      </c>
      <c r="B58" s="10" t="s">
        <v>69</v>
      </c>
      <c r="D58" s="165"/>
      <c r="E58" s="56">
        <v>50</v>
      </c>
      <c r="F58" s="56" t="s">
        <v>46</v>
      </c>
      <c r="G58" s="13">
        <f t="shared" si="14"/>
        <v>0.54</v>
      </c>
      <c r="H58" s="13">
        <f t="shared" si="14"/>
        <v>0.58499999999999996</v>
      </c>
      <c r="I58" s="13">
        <f t="shared" si="14"/>
        <v>0.63</v>
      </c>
      <c r="J58" s="13">
        <f t="shared" si="14"/>
        <v>0.8</v>
      </c>
      <c r="K58" s="13">
        <f t="shared" si="14"/>
        <v>0.8125</v>
      </c>
      <c r="L58" s="13">
        <f t="shared" si="14"/>
        <v>0.82500000000000007</v>
      </c>
      <c r="M58" s="13">
        <f t="shared" si="14"/>
        <v>0.83750000000000002</v>
      </c>
      <c r="N58" s="13">
        <f t="shared" si="14"/>
        <v>0.85000000000000009</v>
      </c>
      <c r="O58" s="13">
        <f t="shared" si="15"/>
        <v>0.86250000000000004</v>
      </c>
      <c r="P58" s="13">
        <f t="shared" si="15"/>
        <v>0.875</v>
      </c>
    </row>
    <row r="59" spans="1:16" ht="15" thickBot="1" x14ac:dyDescent="0.35">
      <c r="A59" s="10" t="s">
        <v>48</v>
      </c>
      <c r="B59" s="10" t="s">
        <v>70</v>
      </c>
      <c r="D59" s="165"/>
      <c r="E59" s="56">
        <v>56</v>
      </c>
      <c r="F59" s="56" t="s">
        <v>48</v>
      </c>
      <c r="G59" s="13">
        <f t="shared" si="14"/>
        <v>0.60480000000000012</v>
      </c>
      <c r="H59" s="13">
        <f t="shared" si="14"/>
        <v>0.6552</v>
      </c>
      <c r="I59" s="13">
        <f t="shared" si="14"/>
        <v>0.70560000000000012</v>
      </c>
      <c r="J59" s="13">
        <f t="shared" si="14"/>
        <v>0.89600000000000013</v>
      </c>
      <c r="K59" s="13">
        <f t="shared" si="14"/>
        <v>0.91000000000000014</v>
      </c>
      <c r="L59" s="13">
        <f t="shared" si="14"/>
        <v>0.92400000000000015</v>
      </c>
      <c r="M59" s="13">
        <f t="shared" si="14"/>
        <v>0.93800000000000017</v>
      </c>
      <c r="N59" s="13">
        <f t="shared" si="14"/>
        <v>0.95200000000000018</v>
      </c>
      <c r="O59" s="13">
        <f t="shared" si="15"/>
        <v>0.96600000000000019</v>
      </c>
      <c r="P59" s="13">
        <f t="shared" si="15"/>
        <v>0.98000000000000009</v>
      </c>
    </row>
    <row r="60" spans="1:16" ht="15" thickBot="1" x14ac:dyDescent="0.35">
      <c r="A60" s="10" t="s">
        <v>50</v>
      </c>
      <c r="B60" s="10" t="s">
        <v>71</v>
      </c>
      <c r="D60" s="166"/>
      <c r="E60" s="56">
        <v>62</v>
      </c>
      <c r="F60" s="56" t="s">
        <v>50</v>
      </c>
      <c r="G60" s="13">
        <f t="shared" si="14"/>
        <v>0.66960000000000008</v>
      </c>
      <c r="H60" s="13">
        <f t="shared" si="14"/>
        <v>0.72539999999999993</v>
      </c>
      <c r="I60" s="13">
        <f t="shared" si="14"/>
        <v>0.78120000000000001</v>
      </c>
      <c r="J60" s="13">
        <f t="shared" si="14"/>
        <v>0.99199999999999999</v>
      </c>
      <c r="K60" s="13">
        <f t="shared" si="14"/>
        <v>1.0075000000000001</v>
      </c>
      <c r="L60" s="13">
        <f t="shared" si="14"/>
        <v>1.0230000000000001</v>
      </c>
      <c r="M60" s="13">
        <f t="shared" si="14"/>
        <v>1.0385</v>
      </c>
      <c r="N60" s="13">
        <f t="shared" si="14"/>
        <v>1.054</v>
      </c>
      <c r="O60" s="13">
        <f t="shared" si="15"/>
        <v>1.0695000000000001</v>
      </c>
      <c r="P60" s="13">
        <f t="shared" si="15"/>
        <v>1.085</v>
      </c>
    </row>
    <row r="61" spans="1:16" ht="15" thickBot="1" x14ac:dyDescent="0.35">
      <c r="A61" s="10" t="s">
        <v>52</v>
      </c>
      <c r="B61" s="10" t="s">
        <v>72</v>
      </c>
    </row>
    <row r="63" spans="1:16" x14ac:dyDescent="0.3">
      <c r="A63" t="s">
        <v>73</v>
      </c>
    </row>
    <row r="64" spans="1:16" x14ac:dyDescent="0.3">
      <c r="C64" t="s">
        <v>75</v>
      </c>
    </row>
    <row r="65" spans="1:15" ht="18" x14ac:dyDescent="0.35">
      <c r="A65" s="12" t="s">
        <v>74</v>
      </c>
    </row>
    <row r="66" spans="1:15" x14ac:dyDescent="0.3">
      <c r="A66" t="s">
        <v>76</v>
      </c>
    </row>
    <row r="67" spans="1:15" x14ac:dyDescent="0.3">
      <c r="A67" t="s">
        <v>77</v>
      </c>
      <c r="F67" t="s">
        <v>79</v>
      </c>
    </row>
    <row r="68" spans="1:15" x14ac:dyDescent="0.3">
      <c r="A68" t="s">
        <v>78</v>
      </c>
      <c r="F68" t="s">
        <v>81</v>
      </c>
    </row>
    <row r="69" spans="1:15" x14ac:dyDescent="0.3">
      <c r="A69" t="s">
        <v>80</v>
      </c>
    </row>
    <row r="70" spans="1:15" x14ac:dyDescent="0.3">
      <c r="A70" t="s">
        <v>82</v>
      </c>
      <c r="B70" s="15" t="s">
        <v>73</v>
      </c>
      <c r="D70">
        <v>280</v>
      </c>
    </row>
    <row r="71" spans="1:15" x14ac:dyDescent="0.3">
      <c r="A71" t="s">
        <v>58</v>
      </c>
      <c r="D71">
        <v>166</v>
      </c>
    </row>
    <row r="72" spans="1:15" x14ac:dyDescent="0.3">
      <c r="A72" t="s">
        <v>117</v>
      </c>
    </row>
    <row r="75" spans="1:15" s="19" customFormat="1" x14ac:dyDescent="0.3">
      <c r="A75" s="18" t="s">
        <v>129</v>
      </c>
    </row>
    <row r="77" spans="1:15" ht="15" thickBot="1" x14ac:dyDescent="0.35"/>
    <row r="78" spans="1:15" ht="27" thickBot="1" x14ac:dyDescent="0.35">
      <c r="A78" s="9" t="s">
        <v>41</v>
      </c>
      <c r="B78" s="9" t="s">
        <v>103</v>
      </c>
      <c r="D78" s="27" t="s">
        <v>123</v>
      </c>
      <c r="E78" s="125"/>
      <c r="F78" s="125">
        <v>40</v>
      </c>
      <c r="G78" s="125">
        <v>45</v>
      </c>
      <c r="H78" s="125">
        <v>50</v>
      </c>
      <c r="I78" s="125">
        <v>55</v>
      </c>
      <c r="J78" s="125">
        <v>60</v>
      </c>
      <c r="K78" s="125">
        <v>65</v>
      </c>
      <c r="L78" s="125">
        <v>70</v>
      </c>
      <c r="M78" s="125">
        <v>75</v>
      </c>
      <c r="N78" s="125">
        <v>80</v>
      </c>
      <c r="O78" s="125">
        <v>85</v>
      </c>
    </row>
    <row r="79" spans="1:15" ht="15" thickBot="1" x14ac:dyDescent="0.35">
      <c r="A79" s="10" t="s">
        <v>24</v>
      </c>
      <c r="B79" s="10" t="s">
        <v>130</v>
      </c>
      <c r="D79" s="169" t="s">
        <v>138</v>
      </c>
      <c r="E79" s="170"/>
      <c r="F79" s="30">
        <f>0.0042*F78+0.55</f>
        <v>0.71799999999999997</v>
      </c>
      <c r="G79" s="30">
        <f t="shared" ref="G79:O79" si="16">0.0042*G78+0.55</f>
        <v>0.7390000000000001</v>
      </c>
      <c r="H79" s="30">
        <f t="shared" si="16"/>
        <v>0.76</v>
      </c>
      <c r="I79" s="30">
        <f t="shared" si="16"/>
        <v>0.78100000000000003</v>
      </c>
      <c r="J79" s="30">
        <f t="shared" si="16"/>
        <v>0.80200000000000005</v>
      </c>
      <c r="K79" s="30">
        <f t="shared" si="16"/>
        <v>0.82299999999999995</v>
      </c>
      <c r="L79" s="30">
        <f t="shared" si="16"/>
        <v>0.84400000000000008</v>
      </c>
      <c r="M79" s="30">
        <f t="shared" si="16"/>
        <v>0.86499999999999999</v>
      </c>
      <c r="N79" s="30">
        <f t="shared" si="16"/>
        <v>0.88600000000000001</v>
      </c>
      <c r="O79" s="30">
        <f t="shared" si="16"/>
        <v>0.90700000000000003</v>
      </c>
    </row>
    <row r="80" spans="1:15" ht="15" thickBot="1" x14ac:dyDescent="0.35">
      <c r="A80" s="10" t="s">
        <v>83</v>
      </c>
      <c r="B80" s="10" t="s">
        <v>131</v>
      </c>
      <c r="D80" s="28">
        <v>45</v>
      </c>
      <c r="E80" s="56" t="s">
        <v>24</v>
      </c>
      <c r="F80" s="13">
        <f>$D80/100*F$79</f>
        <v>0.3231</v>
      </c>
      <c r="G80" s="13">
        <f t="shared" ref="G80:N80" si="17">$D80/100*G$79</f>
        <v>0.33255000000000007</v>
      </c>
      <c r="H80" s="13">
        <f t="shared" si="17"/>
        <v>0.34200000000000003</v>
      </c>
      <c r="I80" s="13">
        <f t="shared" si="17"/>
        <v>0.35145000000000004</v>
      </c>
      <c r="J80" s="13">
        <f t="shared" si="17"/>
        <v>0.36090000000000005</v>
      </c>
      <c r="K80" s="13">
        <f t="shared" si="17"/>
        <v>0.37035000000000001</v>
      </c>
      <c r="L80" s="13">
        <f t="shared" si="17"/>
        <v>0.37980000000000003</v>
      </c>
      <c r="M80" s="13">
        <f t="shared" si="17"/>
        <v>0.38924999999999998</v>
      </c>
      <c r="N80" s="13">
        <f t="shared" si="17"/>
        <v>0.3987</v>
      </c>
      <c r="O80" s="13">
        <f t="shared" ref="O80:O85" si="18">$D80/100*O$79</f>
        <v>0.40815000000000001</v>
      </c>
    </row>
    <row r="81" spans="1:15" ht="15" thickBot="1" x14ac:dyDescent="0.35">
      <c r="A81" s="10" t="s">
        <v>84</v>
      </c>
      <c r="B81" s="74" t="s">
        <v>132</v>
      </c>
      <c r="D81" s="28">
        <v>62</v>
      </c>
      <c r="E81" s="56" t="s">
        <v>83</v>
      </c>
      <c r="F81" s="13">
        <f t="shared" ref="F81:N85" si="19">$D81/100*F$79</f>
        <v>0.44516</v>
      </c>
      <c r="G81" s="13">
        <f t="shared" si="19"/>
        <v>0.45818000000000009</v>
      </c>
      <c r="H81" s="13">
        <f t="shared" si="19"/>
        <v>0.47120000000000001</v>
      </c>
      <c r="I81" s="13">
        <f t="shared" si="19"/>
        <v>0.48422000000000004</v>
      </c>
      <c r="J81" s="13">
        <f t="shared" si="19"/>
        <v>0.49724000000000002</v>
      </c>
      <c r="K81" s="13">
        <f t="shared" si="19"/>
        <v>0.51025999999999994</v>
      </c>
      <c r="L81" s="13">
        <f t="shared" si="19"/>
        <v>0.52328000000000008</v>
      </c>
      <c r="M81" s="13">
        <f t="shared" si="19"/>
        <v>0.5363</v>
      </c>
      <c r="N81" s="13">
        <f t="shared" si="19"/>
        <v>0.54932000000000003</v>
      </c>
      <c r="O81" s="13">
        <f t="shared" si="18"/>
        <v>0.56234000000000006</v>
      </c>
    </row>
    <row r="82" spans="1:15" ht="15" thickBot="1" x14ac:dyDescent="0.35">
      <c r="A82" s="73" t="s">
        <v>12</v>
      </c>
      <c r="B82" s="76" t="s">
        <v>133</v>
      </c>
      <c r="D82" s="28">
        <v>82</v>
      </c>
      <c r="E82" s="56" t="s">
        <v>84</v>
      </c>
      <c r="F82" s="13">
        <f t="shared" si="19"/>
        <v>0.58875999999999995</v>
      </c>
      <c r="G82" s="13">
        <f t="shared" si="19"/>
        <v>0.60598000000000007</v>
      </c>
      <c r="H82" s="13">
        <f t="shared" si="19"/>
        <v>0.62319999999999998</v>
      </c>
      <c r="I82" s="13">
        <f t="shared" si="19"/>
        <v>0.64041999999999999</v>
      </c>
      <c r="J82" s="13">
        <f t="shared" si="19"/>
        <v>0.65764</v>
      </c>
      <c r="K82" s="13">
        <f t="shared" si="19"/>
        <v>0.6748599999999999</v>
      </c>
      <c r="L82" s="13">
        <f t="shared" si="19"/>
        <v>0.69208000000000003</v>
      </c>
      <c r="M82" s="13">
        <f t="shared" si="19"/>
        <v>0.70929999999999993</v>
      </c>
      <c r="N82" s="13">
        <f t="shared" si="19"/>
        <v>0.72651999999999994</v>
      </c>
      <c r="O82" s="13">
        <f t="shared" si="18"/>
        <v>0.74373999999999996</v>
      </c>
    </row>
    <row r="83" spans="1:15" ht="15" thickBot="1" x14ac:dyDescent="0.35">
      <c r="A83" s="10" t="s">
        <v>30</v>
      </c>
      <c r="B83" s="75" t="s">
        <v>134</v>
      </c>
      <c r="D83" s="28">
        <v>107</v>
      </c>
      <c r="E83" s="56" t="s">
        <v>12</v>
      </c>
      <c r="F83" s="13">
        <f t="shared" si="19"/>
        <v>0.76826000000000005</v>
      </c>
      <c r="G83" s="13">
        <f t="shared" si="19"/>
        <v>0.79073000000000015</v>
      </c>
      <c r="H83" s="13">
        <f t="shared" si="19"/>
        <v>0.81320000000000003</v>
      </c>
      <c r="I83" s="13">
        <f t="shared" si="19"/>
        <v>0.83567000000000002</v>
      </c>
      <c r="J83" s="13">
        <f t="shared" si="19"/>
        <v>0.85814000000000012</v>
      </c>
      <c r="K83" s="13">
        <f t="shared" si="19"/>
        <v>0.88061</v>
      </c>
      <c r="L83" s="13">
        <f t="shared" si="19"/>
        <v>0.9030800000000001</v>
      </c>
      <c r="M83" s="13">
        <f t="shared" si="19"/>
        <v>0.92555000000000009</v>
      </c>
      <c r="N83" s="13">
        <f t="shared" si="19"/>
        <v>0.94802000000000008</v>
      </c>
      <c r="O83" s="13">
        <f t="shared" si="18"/>
        <v>0.97049000000000007</v>
      </c>
    </row>
    <row r="84" spans="1:15" ht="15" thickBot="1" x14ac:dyDescent="0.35">
      <c r="A84" s="10" t="s">
        <v>23</v>
      </c>
      <c r="B84" s="10" t="s">
        <v>135</v>
      </c>
      <c r="D84" s="28">
        <v>132</v>
      </c>
      <c r="E84" s="56" t="s">
        <v>30</v>
      </c>
      <c r="F84" s="13">
        <f t="shared" si="19"/>
        <v>0.94776000000000005</v>
      </c>
      <c r="G84" s="13">
        <f t="shared" si="19"/>
        <v>0.97548000000000012</v>
      </c>
      <c r="H84" s="13">
        <f t="shared" si="19"/>
        <v>1.0032000000000001</v>
      </c>
      <c r="I84" s="13">
        <f t="shared" si="19"/>
        <v>1.0309200000000001</v>
      </c>
      <c r="J84" s="13">
        <f t="shared" si="19"/>
        <v>1.05864</v>
      </c>
      <c r="K84" s="13">
        <f t="shared" si="19"/>
        <v>1.08636</v>
      </c>
      <c r="L84" s="13">
        <f t="shared" si="19"/>
        <v>1.1140800000000002</v>
      </c>
      <c r="M84" s="13">
        <f t="shared" si="19"/>
        <v>1.1418000000000001</v>
      </c>
      <c r="N84" s="13">
        <f t="shared" si="19"/>
        <v>1.1695200000000001</v>
      </c>
      <c r="O84" s="13">
        <f t="shared" si="18"/>
        <v>1.1972400000000001</v>
      </c>
    </row>
    <row r="85" spans="1:15" ht="15" thickBot="1" x14ac:dyDescent="0.35">
      <c r="A85" s="10" t="s">
        <v>46</v>
      </c>
      <c r="B85" s="10" t="s">
        <v>136</v>
      </c>
      <c r="D85" s="28">
        <v>159</v>
      </c>
      <c r="E85" s="56" t="s">
        <v>23</v>
      </c>
      <c r="F85" s="13">
        <f t="shared" si="19"/>
        <v>1.1416200000000001</v>
      </c>
      <c r="G85" s="13">
        <f t="shared" si="19"/>
        <v>1.1750100000000001</v>
      </c>
      <c r="H85" s="13">
        <f t="shared" si="19"/>
        <v>1.2084000000000001</v>
      </c>
      <c r="I85" s="13">
        <f t="shared" si="19"/>
        <v>1.2417900000000002</v>
      </c>
      <c r="J85" s="13">
        <f t="shared" si="19"/>
        <v>1.2751800000000002</v>
      </c>
      <c r="K85" s="13">
        <f t="shared" si="19"/>
        <v>1.30857</v>
      </c>
      <c r="L85" s="13">
        <f t="shared" si="19"/>
        <v>1.3419600000000003</v>
      </c>
      <c r="M85" s="13">
        <f t="shared" si="19"/>
        <v>1.3753500000000001</v>
      </c>
      <c r="N85" s="13">
        <f t="shared" si="19"/>
        <v>1.4087400000000001</v>
      </c>
      <c r="O85" s="13">
        <f t="shared" si="18"/>
        <v>1.4421300000000001</v>
      </c>
    </row>
    <row r="89" spans="1:15" ht="15.6" x14ac:dyDescent="0.3">
      <c r="D89" s="17" t="s">
        <v>137</v>
      </c>
    </row>
    <row r="94" spans="1:15" x14ac:dyDescent="0.3">
      <c r="A94" t="s">
        <v>139</v>
      </c>
    </row>
    <row r="96" spans="1:15" x14ac:dyDescent="0.3">
      <c r="A96" s="173" t="s">
        <v>144</v>
      </c>
      <c r="B96" s="173"/>
      <c r="C96" s="5">
        <v>3.6</v>
      </c>
    </row>
    <row r="97" spans="1:21" x14ac:dyDescent="0.3">
      <c r="A97" s="173" t="s">
        <v>143</v>
      </c>
      <c r="B97" s="173"/>
      <c r="C97" s="5">
        <f>C96*52</f>
        <v>187.20000000000002</v>
      </c>
    </row>
    <row r="98" spans="1:21" x14ac:dyDescent="0.3">
      <c r="A98" s="128"/>
      <c r="B98" s="128"/>
    </row>
    <row r="100" spans="1:21" s="19" customFormat="1" ht="18.75" customHeight="1" x14ac:dyDescent="0.3">
      <c r="A100" s="18" t="s">
        <v>165</v>
      </c>
      <c r="B100" s="90"/>
      <c r="C100" s="90"/>
      <c r="D100" s="90"/>
      <c r="E100" s="90"/>
      <c r="F100" s="90"/>
      <c r="G100" s="90"/>
    </row>
    <row r="101" spans="1:21" ht="18" x14ac:dyDescent="0.3">
      <c r="A101" s="155" t="s">
        <v>166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</row>
    <row r="102" spans="1:21" x14ac:dyDescent="0.3">
      <c r="A102" s="15" t="s">
        <v>167</v>
      </c>
    </row>
    <row r="103" spans="1:21" ht="15" thickBot="1" x14ac:dyDescent="0.35">
      <c r="E103" t="s">
        <v>168</v>
      </c>
    </row>
    <row r="104" spans="1:21" ht="27" thickBot="1" x14ac:dyDescent="0.35">
      <c r="A104" s="9" t="s">
        <v>41</v>
      </c>
      <c r="B104" s="9" t="s">
        <v>169</v>
      </c>
      <c r="E104" s="167" t="s">
        <v>170</v>
      </c>
      <c r="F104" s="168"/>
      <c r="G104" s="125">
        <v>6</v>
      </c>
      <c r="H104" s="125">
        <v>7</v>
      </c>
      <c r="I104" s="125">
        <v>8</v>
      </c>
      <c r="J104" s="125">
        <v>9</v>
      </c>
      <c r="K104" s="125">
        <v>10</v>
      </c>
      <c r="L104" s="125">
        <v>11</v>
      </c>
      <c r="M104" s="125">
        <v>12</v>
      </c>
      <c r="N104" s="125">
        <v>13</v>
      </c>
      <c r="O104" s="125">
        <v>14</v>
      </c>
      <c r="P104" s="125">
        <v>15</v>
      </c>
      <c r="Q104" s="125">
        <v>16</v>
      </c>
    </row>
    <row r="105" spans="1:21" ht="27" thickBot="1" x14ac:dyDescent="0.35">
      <c r="A105" s="10" t="s">
        <v>171</v>
      </c>
      <c r="B105" s="10" t="s">
        <v>172</v>
      </c>
      <c r="E105" s="169" t="s">
        <v>173</v>
      </c>
      <c r="F105" s="170"/>
      <c r="G105" s="30">
        <f>140*(G104^0.8)</f>
        <v>587.01477976812669</v>
      </c>
      <c r="H105" s="30">
        <f>140*(H104^0.8)</f>
        <v>664.05869513247137</v>
      </c>
      <c r="I105" s="30">
        <f t="shared" ref="I105:Q105" si="20">140*(I104^0.8)</f>
        <v>738.92443003282074</v>
      </c>
      <c r="J105" s="30">
        <f t="shared" si="20"/>
        <v>811.93645887134062</v>
      </c>
      <c r="K105" s="30">
        <f t="shared" si="20"/>
        <v>883.34028227227077</v>
      </c>
      <c r="L105" s="30">
        <f t="shared" si="20"/>
        <v>953.32763785312227</v>
      </c>
      <c r="M105" s="30">
        <f t="shared" si="20"/>
        <v>1022.0520943805857</v>
      </c>
      <c r="N105" s="30">
        <f t="shared" si="20"/>
        <v>1089.6391970855259</v>
      </c>
      <c r="O105" s="30">
        <f t="shared" si="20"/>
        <v>1156.1933422185243</v>
      </c>
      <c r="P105" s="30">
        <f t="shared" si="20"/>
        <v>1221.802594220645</v>
      </c>
      <c r="Q105" s="30">
        <f t="shared" si="20"/>
        <v>1286.5421575966791</v>
      </c>
    </row>
    <row r="106" spans="1:21" ht="15" thickBot="1" x14ac:dyDescent="0.35">
      <c r="A106" s="10" t="s">
        <v>83</v>
      </c>
      <c r="B106" s="10" t="s">
        <v>174</v>
      </c>
      <c r="E106" s="28">
        <v>24</v>
      </c>
      <c r="F106" s="56" t="s">
        <v>24</v>
      </c>
      <c r="G106" s="91">
        <f>$E106/100*G$105</f>
        <v>140.88354714435039</v>
      </c>
      <c r="H106" s="91">
        <f t="shared" ref="H106:Q106" si="21">$E106/100*H$105</f>
        <v>159.37408683179314</v>
      </c>
      <c r="I106" s="91">
        <f t="shared" si="21"/>
        <v>177.34186320787697</v>
      </c>
      <c r="J106" s="91">
        <f t="shared" si="21"/>
        <v>194.86475012912175</v>
      </c>
      <c r="K106" s="91">
        <f t="shared" si="21"/>
        <v>212.00166774534497</v>
      </c>
      <c r="L106" s="91">
        <f t="shared" si="21"/>
        <v>228.79863308474933</v>
      </c>
      <c r="M106" s="91">
        <f t="shared" si="21"/>
        <v>245.29250265134056</v>
      </c>
      <c r="N106" s="91">
        <f t="shared" si="21"/>
        <v>261.51340730052618</v>
      </c>
      <c r="O106" s="91">
        <f t="shared" ref="O106:P111" si="22">$E106/100*O$105</f>
        <v>277.48640213244585</v>
      </c>
      <c r="P106" s="91">
        <f t="shared" si="22"/>
        <v>293.2326226129548</v>
      </c>
      <c r="Q106" s="91">
        <f t="shared" si="21"/>
        <v>308.77011782320295</v>
      </c>
    </row>
    <row r="107" spans="1:21" ht="15" thickBot="1" x14ac:dyDescent="0.35">
      <c r="A107" s="10" t="s">
        <v>84</v>
      </c>
      <c r="B107" s="10" t="s">
        <v>175</v>
      </c>
      <c r="E107" s="28">
        <v>32</v>
      </c>
      <c r="F107" s="56" t="s">
        <v>83</v>
      </c>
      <c r="G107" s="91">
        <f t="shared" ref="G107:Q111" si="23">$E107/100*G$105</f>
        <v>187.84472952580055</v>
      </c>
      <c r="H107" s="91">
        <f t="shared" si="23"/>
        <v>212.49878244239085</v>
      </c>
      <c r="I107" s="91">
        <f t="shared" si="23"/>
        <v>236.45581761050263</v>
      </c>
      <c r="J107" s="91">
        <f t="shared" si="23"/>
        <v>259.81966683882899</v>
      </c>
      <c r="K107" s="91">
        <f t="shared" si="23"/>
        <v>282.66889032712663</v>
      </c>
      <c r="L107" s="91">
        <f t="shared" si="23"/>
        <v>305.06484411299914</v>
      </c>
      <c r="M107" s="91">
        <f t="shared" si="23"/>
        <v>327.05667020178743</v>
      </c>
      <c r="N107" s="91">
        <f t="shared" si="23"/>
        <v>348.68454306736828</v>
      </c>
      <c r="O107" s="91">
        <f t="shared" si="22"/>
        <v>369.98186950992778</v>
      </c>
      <c r="P107" s="91">
        <f t="shared" si="22"/>
        <v>390.97683015060642</v>
      </c>
      <c r="Q107" s="91">
        <f t="shared" si="23"/>
        <v>411.69349043093735</v>
      </c>
    </row>
    <row r="108" spans="1:21" ht="15" thickBot="1" x14ac:dyDescent="0.35">
      <c r="A108" s="10" t="s">
        <v>12</v>
      </c>
      <c r="B108" s="10" t="s">
        <v>176</v>
      </c>
      <c r="E108" s="28">
        <v>42</v>
      </c>
      <c r="F108" s="56" t="s">
        <v>84</v>
      </c>
      <c r="G108" s="91">
        <f t="shared" si="23"/>
        <v>246.54620750261319</v>
      </c>
      <c r="H108" s="91">
        <f t="shared" si="23"/>
        <v>278.90465195563797</v>
      </c>
      <c r="I108" s="91">
        <f t="shared" si="23"/>
        <v>310.3482606137847</v>
      </c>
      <c r="J108" s="91">
        <f t="shared" si="23"/>
        <v>341.01331272596303</v>
      </c>
      <c r="K108" s="91">
        <f t="shared" si="23"/>
        <v>371.0029185543537</v>
      </c>
      <c r="L108" s="91">
        <f t="shared" si="23"/>
        <v>400.39760789831132</v>
      </c>
      <c r="M108" s="91">
        <f t="shared" si="23"/>
        <v>429.26187963984597</v>
      </c>
      <c r="N108" s="91">
        <f t="shared" si="23"/>
        <v>457.64846277592085</v>
      </c>
      <c r="O108" s="91">
        <f t="shared" si="22"/>
        <v>485.60120373178017</v>
      </c>
      <c r="P108" s="91">
        <f t="shared" si="22"/>
        <v>513.15708957267088</v>
      </c>
      <c r="Q108" s="91">
        <f t="shared" si="23"/>
        <v>540.34770619060521</v>
      </c>
    </row>
    <row r="109" spans="1:21" ht="15" thickBot="1" x14ac:dyDescent="0.35">
      <c r="A109" s="10" t="s">
        <v>30</v>
      </c>
      <c r="B109" s="10" t="s">
        <v>177</v>
      </c>
      <c r="E109" s="28">
        <v>65</v>
      </c>
      <c r="F109" s="56" t="s">
        <v>12</v>
      </c>
      <c r="G109" s="91">
        <f t="shared" si="23"/>
        <v>381.55960684928237</v>
      </c>
      <c r="H109" s="91">
        <f t="shared" si="23"/>
        <v>431.63815183610643</v>
      </c>
      <c r="I109" s="91">
        <f t="shared" si="23"/>
        <v>480.30087952133351</v>
      </c>
      <c r="J109" s="91">
        <f t="shared" si="23"/>
        <v>527.75869826637143</v>
      </c>
      <c r="K109" s="91">
        <f t="shared" si="23"/>
        <v>574.17118347697601</v>
      </c>
      <c r="L109" s="91">
        <f t="shared" si="23"/>
        <v>619.66296460452952</v>
      </c>
      <c r="M109" s="91">
        <f t="shared" si="23"/>
        <v>664.33386134738066</v>
      </c>
      <c r="N109" s="91">
        <f t="shared" si="23"/>
        <v>708.26547810559191</v>
      </c>
      <c r="O109" s="91">
        <f t="shared" si="22"/>
        <v>751.52567244204079</v>
      </c>
      <c r="P109" s="91">
        <f t="shared" si="22"/>
        <v>794.17168624341923</v>
      </c>
      <c r="Q109" s="91">
        <f t="shared" si="23"/>
        <v>836.2524024378414</v>
      </c>
    </row>
    <row r="110" spans="1:21" ht="15" thickBot="1" x14ac:dyDescent="0.35">
      <c r="A110" s="10" t="s">
        <v>23</v>
      </c>
      <c r="B110" s="10" t="s">
        <v>178</v>
      </c>
      <c r="E110" s="28">
        <v>76</v>
      </c>
      <c r="F110" s="56" t="s">
        <v>30</v>
      </c>
      <c r="G110" s="91">
        <f t="shared" si="23"/>
        <v>446.13123262377627</v>
      </c>
      <c r="H110" s="91">
        <f t="shared" si="23"/>
        <v>504.68460830067824</v>
      </c>
      <c r="I110" s="91">
        <f t="shared" si="23"/>
        <v>561.5825668249438</v>
      </c>
      <c r="J110" s="91">
        <f t="shared" si="23"/>
        <v>617.0717087422189</v>
      </c>
      <c r="K110" s="91">
        <f t="shared" si="23"/>
        <v>671.33861452692577</v>
      </c>
      <c r="L110" s="91">
        <f t="shared" si="23"/>
        <v>724.52900476837294</v>
      </c>
      <c r="M110" s="91">
        <f t="shared" si="23"/>
        <v>776.75959172924513</v>
      </c>
      <c r="N110" s="91">
        <f t="shared" si="23"/>
        <v>828.12578978499971</v>
      </c>
      <c r="O110" s="91">
        <f t="shared" si="22"/>
        <v>878.70694008607848</v>
      </c>
      <c r="P110" s="91">
        <f t="shared" si="22"/>
        <v>928.56997160769026</v>
      </c>
      <c r="Q110" s="91">
        <f t="shared" si="23"/>
        <v>977.77203977347608</v>
      </c>
    </row>
    <row r="111" spans="1:21" ht="15" thickBot="1" x14ac:dyDescent="0.35">
      <c r="A111" s="10" t="s">
        <v>179</v>
      </c>
      <c r="B111" s="10" t="s">
        <v>180</v>
      </c>
      <c r="E111" s="28">
        <v>85</v>
      </c>
      <c r="F111" s="56" t="s">
        <v>23</v>
      </c>
      <c r="G111" s="91">
        <f t="shared" si="23"/>
        <v>498.96256280290766</v>
      </c>
      <c r="H111" s="91">
        <f t="shared" si="23"/>
        <v>564.44989086260068</v>
      </c>
      <c r="I111" s="91">
        <f t="shared" si="23"/>
        <v>628.08576552789759</v>
      </c>
      <c r="J111" s="91">
        <f t="shared" si="23"/>
        <v>690.1459900406395</v>
      </c>
      <c r="K111" s="91">
        <f t="shared" si="23"/>
        <v>750.83923993143014</v>
      </c>
      <c r="L111" s="91">
        <f t="shared" si="23"/>
        <v>810.32849217515388</v>
      </c>
      <c r="M111" s="91">
        <f t="shared" si="23"/>
        <v>868.74428022349787</v>
      </c>
      <c r="N111" s="91">
        <f t="shared" si="23"/>
        <v>926.19331752269693</v>
      </c>
      <c r="O111" s="91">
        <f t="shared" si="22"/>
        <v>982.7643408857457</v>
      </c>
      <c r="P111" s="91">
        <f t="shared" si="22"/>
        <v>1038.5322050875482</v>
      </c>
      <c r="Q111" s="91">
        <f t="shared" si="23"/>
        <v>1093.5608339571772</v>
      </c>
    </row>
    <row r="113" spans="1:4" ht="18" x14ac:dyDescent="0.3">
      <c r="A113" s="92"/>
    </row>
    <row r="114" spans="1:4" x14ac:dyDescent="0.3">
      <c r="B114" t="s">
        <v>181</v>
      </c>
    </row>
    <row r="117" spans="1:4" x14ac:dyDescent="0.3">
      <c r="A117" t="s">
        <v>182</v>
      </c>
    </row>
    <row r="118" spans="1:4" x14ac:dyDescent="0.3">
      <c r="A118" t="s">
        <v>183</v>
      </c>
    </row>
    <row r="119" spans="1:4" x14ac:dyDescent="0.3">
      <c r="A119" s="15" t="s">
        <v>184</v>
      </c>
    </row>
    <row r="120" spans="1:4" x14ac:dyDescent="0.3">
      <c r="A120" t="s">
        <v>185</v>
      </c>
      <c r="D120">
        <v>183</v>
      </c>
    </row>
    <row r="121" spans="1:4" x14ac:dyDescent="0.3">
      <c r="A121" t="s">
        <v>58</v>
      </c>
      <c r="D121">
        <v>160</v>
      </c>
    </row>
  </sheetData>
  <mergeCells count="30">
    <mergeCell ref="E104:F104"/>
    <mergeCell ref="E105:F105"/>
    <mergeCell ref="L2:M2"/>
    <mergeCell ref="C2:C3"/>
    <mergeCell ref="B2:B3"/>
    <mergeCell ref="D79:E79"/>
    <mergeCell ref="A96:B96"/>
    <mergeCell ref="A97:B97"/>
    <mergeCell ref="D15:L15"/>
    <mergeCell ref="D17:F17"/>
    <mergeCell ref="D16:F16"/>
    <mergeCell ref="E54:F54"/>
    <mergeCell ref="D38:F38"/>
    <mergeCell ref="D39:F39"/>
    <mergeCell ref="D18:D23"/>
    <mergeCell ref="D40:D46"/>
    <mergeCell ref="A101:U101"/>
    <mergeCell ref="E53:F53"/>
    <mergeCell ref="O16:P16"/>
    <mergeCell ref="Z2:AB2"/>
    <mergeCell ref="D2:E2"/>
    <mergeCell ref="F2:G2"/>
    <mergeCell ref="H2:I2"/>
    <mergeCell ref="J2:K2"/>
    <mergeCell ref="O26:P26"/>
    <mergeCell ref="Q2:S2"/>
    <mergeCell ref="T2:V2"/>
    <mergeCell ref="P2:P3"/>
    <mergeCell ref="O2:O3"/>
    <mergeCell ref="D55:D60"/>
  </mergeCells>
  <phoneticPr fontId="2" type="noConversion"/>
  <hyperlinks>
    <hyperlink ref="A29" r:id="rId1" xr:uid="{DC7A56DD-B51D-4471-B22C-F71831C916C8}"/>
    <hyperlink ref="D32" r:id="rId2" xr:uid="{DA08BEDB-F105-41EF-A281-00155050E44E}"/>
    <hyperlink ref="B70" r:id="rId3" xr:uid="{67F242F4-5C7F-4C56-AD51-D226844344CC}"/>
    <hyperlink ref="B48" r:id="rId4" xr:uid="{71842425-8A39-4BCE-9320-252876120196}"/>
    <hyperlink ref="A102" r:id="rId5" xr:uid="{D449B242-A73B-4E08-A63F-F8A796EACB0F}"/>
    <hyperlink ref="A119" r:id="rId6" xr:uid="{6AA90967-1F89-4626-8667-17C117B0ED72}"/>
  </hyperlinks>
  <pageMargins left="0.7" right="0.7" top="0.75" bottom="0.75" header="0.3" footer="0.3"/>
  <drawing r:id="rId7"/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0B9EEBA4EAE44B2C1551FFB6DEDF7" ma:contentTypeVersion="21" ma:contentTypeDescription="Crée un document." ma:contentTypeScope="" ma:versionID="5a82aef09b078f57bf5255cb66acc541">
  <xsd:schema xmlns:xsd="http://www.w3.org/2001/XMLSchema" xmlns:xs="http://www.w3.org/2001/XMLSchema" xmlns:p="http://schemas.microsoft.com/office/2006/metadata/properties" xmlns:ns2="e21a6254-ba03-4d28-8f84-ba8998bf1df0" xmlns:ns3="a682b4ab-22c1-46d6-a8cc-bd9a87764681" targetNamespace="http://schemas.microsoft.com/office/2006/metadata/properties" ma:root="true" ma:fieldsID="66f27aec829b98ea35178863065cab5c" ns2:_="" ns3:_="">
    <xsd:import namespace="e21a6254-ba03-4d28-8f84-ba8998bf1df0"/>
    <xsd:import namespace="a682b4ab-22c1-46d6-a8cc-bd9a877646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a6254-ba03-4d28-8f84-ba8998bf1d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a61e1f-ba05-4ba4-aa4e-f62bea3a2808}" ma:internalName="TaxCatchAll" ma:showField="CatchAllData" ma:web="e21a6254-ba03-4d28-8f84-ba8998bf1d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2b4ab-22c1-46d6-a8cc-bd9a87764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0e4edc5-c987-42fd-9fca-4d1cf69222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a6254-ba03-4d28-8f84-ba8998bf1df0" xsi:nil="true"/>
    <lcf76f155ced4ddcb4097134ff3c332f xmlns="a682b4ab-22c1-46d6-a8cc-bd9a877646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884B48-E81F-41D0-8BAF-36E1CE7A22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8EE61-B1E2-438F-BD72-13036E599A10}"/>
</file>

<file path=customXml/itemProps3.xml><?xml version="1.0" encoding="utf-8"?>
<ds:datastoreItem xmlns:ds="http://schemas.openxmlformats.org/officeDocument/2006/customXml" ds:itemID="{F1FF8347-9555-4A4C-8A8A-1D4A6F39C8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Accueil</vt:lpstr>
      <vt:lpstr>00_NOTICE</vt:lpstr>
      <vt:lpstr>01_OUTIL</vt:lpstr>
      <vt:lpstr>02_DONNEES-EXIGENCES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LEBANNIER</dc:creator>
  <cp:keywords/>
  <dc:description/>
  <cp:lastModifiedBy>Gwenn LE SEACH</cp:lastModifiedBy>
  <cp:revision/>
  <dcterms:created xsi:type="dcterms:W3CDTF">2025-05-20T13:41:44Z</dcterms:created>
  <dcterms:modified xsi:type="dcterms:W3CDTF">2025-12-10T14:34:19Z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0x0101002F70B9EEBA4EAE44B2C1551FFB6DEDF7</vt:lpwstr>
  </property>
  <property fmtid="{D5CDD505-2E9C-101B-9397-08002B2CF9AE}" pid="3" name="Order">
    <vt:r8>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